
<file path=[Content_Types].xml><?xml version="1.0" encoding="utf-8"?>
<Types xmlns="http://schemas.openxmlformats.org/package/2006/content-types">
  <Default Extension="xml" ContentType="application/xml"/>
  <Default Extension="jpg" ContentType="image/jpeg"/>
  <Default Extension="rels" ContentType="application/vnd.openxmlformats-package.relationships+xml"/>
  <Default Extension="emf" ContentType="image/x-emf"/>
  <Default Extension="vml" ContentType="application/vnd.openxmlformats-officedocument.vmlDrawing"/>
  <Default Extension="bin" ContentType="application/vnd.ms-office.vbaProject"/>
  <Default Extension="png" ContentType="image/p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030" codeName="{8C4F1C90-05EB-6A55-5F09-09C24B55AC0B}"/>
  <workbookPr showInkAnnotation="0" codeName="ThisWorkbook" autoCompressPictures="0"/>
  <bookViews>
    <workbookView xWindow="300" yWindow="0" windowWidth="23840" windowHeight="15540" tabRatio="0" firstSheet="1" activeTab="1"/>
  </bookViews>
  <sheets>
    <sheet name="Calculations" sheetId="11" r:id="rId1"/>
    <sheet name="Credits" sheetId="15" r:id="rId2"/>
    <sheet name="Crop List" sheetId="13" r:id="rId3"/>
    <sheet name="Variable Costs" sheetId="8" r:id="rId4"/>
    <sheet name="Fixed Costs" sheetId="9" r:id="rId5"/>
    <sheet name="Outputs" sheetId="10" r:id="rId6"/>
    <sheet name="Comparison Charts" sheetId="14" r:id="rId7"/>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7" i="9" l="1"/>
  <c r="H7" i="9"/>
  <c r="N60" i="9"/>
  <c r="D67" i="11"/>
  <c r="D73" i="11"/>
  <c r="D70" i="11"/>
  <c r="D56" i="11"/>
  <c r="G56" i="11"/>
  <c r="I56" i="11"/>
  <c r="G49" i="9"/>
  <c r="I49" i="9"/>
  <c r="J49" i="9"/>
  <c r="K49" i="9"/>
  <c r="G26" i="9"/>
  <c r="I26" i="9"/>
  <c r="J26" i="9"/>
  <c r="K26" i="9"/>
  <c r="G27" i="9"/>
  <c r="I27" i="9"/>
  <c r="J27" i="9"/>
  <c r="K27" i="9"/>
  <c r="E28" i="9"/>
  <c r="G28" i="9"/>
  <c r="I28" i="9"/>
  <c r="J28" i="9"/>
  <c r="K28" i="9"/>
  <c r="E29" i="9"/>
  <c r="G29" i="9"/>
  <c r="I29" i="9"/>
  <c r="J29" i="9"/>
  <c r="K29" i="9"/>
  <c r="E30" i="9"/>
  <c r="G30" i="9"/>
  <c r="I30" i="9"/>
  <c r="J30" i="9"/>
  <c r="K30" i="9"/>
  <c r="E31" i="9"/>
  <c r="G31" i="9"/>
  <c r="I31" i="9"/>
  <c r="J31" i="9"/>
  <c r="K31" i="9"/>
  <c r="G32" i="9"/>
  <c r="I32" i="9"/>
  <c r="J32" i="9"/>
  <c r="K32" i="9"/>
  <c r="E33" i="9"/>
  <c r="G33" i="9"/>
  <c r="I33" i="9"/>
  <c r="J33" i="9"/>
  <c r="K33" i="9"/>
  <c r="G34" i="9"/>
  <c r="I34" i="9"/>
  <c r="J34" i="9"/>
  <c r="K34" i="9"/>
  <c r="E35" i="9"/>
  <c r="G35" i="9"/>
  <c r="I35" i="9"/>
  <c r="J35" i="9"/>
  <c r="K35" i="9"/>
  <c r="E13" i="9"/>
  <c r="G13" i="9"/>
  <c r="G36" i="9"/>
  <c r="I36" i="9"/>
  <c r="J36" i="9"/>
  <c r="K36" i="9"/>
  <c r="G37" i="9"/>
  <c r="I37" i="9"/>
  <c r="J37" i="9"/>
  <c r="K37" i="9"/>
  <c r="G38" i="9"/>
  <c r="I38" i="9"/>
  <c r="J38" i="9"/>
  <c r="K38" i="9"/>
  <c r="G39" i="9"/>
  <c r="I39" i="9"/>
  <c r="J39" i="9"/>
  <c r="K39" i="9"/>
  <c r="G40" i="9"/>
  <c r="I40" i="9"/>
  <c r="J40" i="9"/>
  <c r="K40" i="9"/>
  <c r="G41" i="9"/>
  <c r="I41" i="9"/>
  <c r="J41" i="9"/>
  <c r="K41" i="9"/>
  <c r="G42" i="9"/>
  <c r="I42" i="9"/>
  <c r="J42" i="9"/>
  <c r="K42" i="9"/>
  <c r="K44" i="9"/>
  <c r="K53" i="9"/>
  <c r="J56" i="11"/>
  <c r="D57" i="11"/>
  <c r="G57" i="11"/>
  <c r="I57" i="11"/>
  <c r="J57" i="11"/>
  <c r="D58" i="11"/>
  <c r="G58" i="11"/>
  <c r="I58" i="11"/>
  <c r="J58" i="11"/>
  <c r="D59" i="11"/>
  <c r="G59" i="11"/>
  <c r="I59" i="11"/>
  <c r="J59" i="11"/>
  <c r="D60" i="11"/>
  <c r="G60" i="11"/>
  <c r="I60" i="11"/>
  <c r="J60" i="11"/>
  <c r="D61" i="11"/>
  <c r="G61" i="11"/>
  <c r="I61" i="11"/>
  <c r="J61" i="11"/>
  <c r="D62" i="11"/>
  <c r="G62" i="11"/>
  <c r="I62" i="11"/>
  <c r="J62" i="11"/>
  <c r="D63" i="11"/>
  <c r="G63" i="11"/>
  <c r="I63" i="11"/>
  <c r="J63" i="11"/>
  <c r="D64" i="11"/>
  <c r="G64" i="11"/>
  <c r="I64" i="11"/>
  <c r="J64" i="11"/>
  <c r="D65" i="11"/>
  <c r="G65" i="11"/>
  <c r="I65" i="11"/>
  <c r="J65" i="11"/>
  <c r="D66" i="11"/>
  <c r="G66" i="11"/>
  <c r="I66" i="11"/>
  <c r="J66" i="11"/>
  <c r="G67" i="11"/>
  <c r="I67" i="11"/>
  <c r="J67" i="11"/>
  <c r="D68" i="11"/>
  <c r="G68" i="11"/>
  <c r="I68" i="11"/>
  <c r="J68" i="11"/>
  <c r="D69" i="11"/>
  <c r="G69" i="11"/>
  <c r="I69" i="11"/>
  <c r="J69" i="11"/>
  <c r="G70" i="11"/>
  <c r="I70" i="11"/>
  <c r="J70" i="11"/>
  <c r="D71" i="11"/>
  <c r="G71" i="11"/>
  <c r="I71" i="11"/>
  <c r="J71" i="11"/>
  <c r="D72" i="11"/>
  <c r="G72" i="11"/>
  <c r="I72" i="11"/>
  <c r="J72" i="11"/>
  <c r="G73" i="11"/>
  <c r="I73" i="11"/>
  <c r="J73" i="11"/>
  <c r="D74" i="11"/>
  <c r="G74" i="11"/>
  <c r="I74" i="11"/>
  <c r="J74" i="11"/>
  <c r="D75" i="11"/>
  <c r="G75" i="11"/>
  <c r="I75" i="11"/>
  <c r="J75" i="11"/>
  <c r="D76" i="11"/>
  <c r="G76" i="11"/>
  <c r="I76" i="11"/>
  <c r="J76" i="11"/>
  <c r="D77" i="11"/>
  <c r="G77" i="11"/>
  <c r="I77" i="11"/>
  <c r="J77" i="11"/>
  <c r="D78" i="11"/>
  <c r="G78" i="11"/>
  <c r="I78" i="11"/>
  <c r="J78" i="11"/>
  <c r="D79" i="11"/>
  <c r="G79" i="11"/>
  <c r="I79" i="11"/>
  <c r="J79" i="11"/>
  <c r="E60" i="9"/>
  <c r="D12" i="8"/>
  <c r="E12" i="8"/>
  <c r="F12" i="8"/>
  <c r="G12" i="8"/>
  <c r="H12" i="8"/>
  <c r="F4" i="11"/>
  <c r="F8" i="11"/>
  <c r="D7" i="8"/>
  <c r="H7" i="8"/>
  <c r="L52" i="8"/>
  <c r="G52" i="8"/>
  <c r="H52" i="8"/>
  <c r="F27" i="8"/>
  <c r="D27" i="8"/>
  <c r="E27" i="8"/>
  <c r="F10" i="11"/>
  <c r="G27" i="8"/>
  <c r="F9" i="11"/>
  <c r="K18" i="8"/>
  <c r="E39" i="11"/>
  <c r="E45" i="11"/>
  <c r="E42" i="11"/>
  <c r="E40" i="11"/>
  <c r="E28" i="11"/>
  <c r="E29" i="11"/>
  <c r="E30" i="11"/>
  <c r="E31" i="11"/>
  <c r="E32" i="11"/>
  <c r="E33" i="11"/>
  <c r="E34" i="11"/>
  <c r="E35" i="11"/>
  <c r="E36" i="11"/>
  <c r="E37" i="11"/>
  <c r="E38" i="11"/>
  <c r="E41" i="11"/>
  <c r="E43" i="11"/>
  <c r="E44" i="11"/>
  <c r="E46" i="11"/>
  <c r="E47" i="11"/>
  <c r="E48" i="11"/>
  <c r="E49" i="11"/>
  <c r="E50" i="11"/>
  <c r="E51" i="11"/>
  <c r="F18" i="8"/>
  <c r="G18" i="8"/>
  <c r="L53" i="8"/>
  <c r="G53" i="8"/>
  <c r="H53" i="8"/>
  <c r="L54" i="8"/>
  <c r="G54" i="8"/>
  <c r="H54" i="8"/>
  <c r="L55" i="8"/>
  <c r="G55" i="8"/>
  <c r="H55" i="8"/>
  <c r="K20" i="8"/>
  <c r="F20" i="8"/>
  <c r="K19" i="8"/>
  <c r="F19" i="8"/>
  <c r="G19" i="8"/>
  <c r="H19" i="8"/>
  <c r="E38" i="8"/>
  <c r="E40" i="8"/>
  <c r="H7" i="10"/>
  <c r="D7" i="10"/>
  <c r="G29" i="11"/>
  <c r="G30" i="11"/>
  <c r="G31" i="11"/>
  <c r="G32" i="11"/>
  <c r="G33" i="11"/>
  <c r="G34" i="11"/>
  <c r="G35" i="11"/>
  <c r="G36" i="11"/>
  <c r="G37" i="11"/>
  <c r="G38" i="11"/>
  <c r="G39" i="11"/>
  <c r="G40" i="11"/>
  <c r="G41" i="11"/>
  <c r="G42" i="11"/>
  <c r="G43" i="11"/>
  <c r="G44" i="11"/>
  <c r="G45" i="11"/>
  <c r="G46" i="11"/>
  <c r="G47" i="11"/>
  <c r="G48" i="11"/>
  <c r="G49" i="11"/>
  <c r="G50" i="11"/>
  <c r="G51" i="11"/>
  <c r="G28" i="11"/>
  <c r="H28" i="11"/>
  <c r="J28" i="11"/>
  <c r="D20" i="11"/>
  <c r="D19" i="11"/>
  <c r="D18" i="11"/>
  <c r="D17" i="11"/>
  <c r="D16" i="11"/>
  <c r="F11" i="11"/>
  <c r="C4" i="11"/>
  <c r="D4" i="11"/>
  <c r="E4" i="11"/>
  <c r="B4" i="11"/>
  <c r="N63" i="9"/>
  <c r="F63" i="9"/>
  <c r="E63" i="9"/>
  <c r="G63" i="9"/>
  <c r="H63" i="9"/>
  <c r="F60" i="9"/>
  <c r="G60" i="9"/>
  <c r="H60" i="9"/>
  <c r="F16" i="10"/>
  <c r="G28" i="8"/>
  <c r="H31" i="8"/>
  <c r="G16" i="10"/>
  <c r="N61" i="9"/>
  <c r="F61" i="9"/>
  <c r="E61" i="9"/>
  <c r="G61" i="9"/>
  <c r="K21" i="8"/>
  <c r="F21" i="8"/>
  <c r="G21" i="8"/>
  <c r="H21" i="8"/>
  <c r="G20" i="8"/>
  <c r="H20" i="8"/>
  <c r="N62" i="9"/>
  <c r="F62" i="9"/>
  <c r="E62" i="9"/>
  <c r="G62" i="9"/>
  <c r="H62" i="9"/>
  <c r="H61" i="9"/>
  <c r="H18" i="8"/>
  <c r="D52" i="8"/>
  <c r="D13" i="10"/>
  <c r="F14" i="10"/>
  <c r="G14" i="10"/>
  <c r="F15" i="10"/>
  <c r="G15" i="10"/>
  <c r="F13" i="10"/>
  <c r="G13" i="10"/>
  <c r="G38" i="8"/>
  <c r="E39" i="8"/>
  <c r="G39" i="8"/>
  <c r="G40" i="8"/>
  <c r="E41" i="8"/>
  <c r="G41" i="8"/>
  <c r="E42" i="8"/>
  <c r="G42" i="8"/>
  <c r="G43" i="8"/>
  <c r="H44" i="8"/>
  <c r="E13" i="10"/>
  <c r="H13" i="10"/>
  <c r="I13" i="10"/>
  <c r="H14" i="10"/>
  <c r="H15" i="10"/>
  <c r="H16" i="10"/>
  <c r="E14" i="10"/>
  <c r="E15" i="10"/>
  <c r="E16" i="10"/>
  <c r="D14" i="10"/>
  <c r="D15" i="10"/>
  <c r="D16" i="10"/>
  <c r="J16" i="10"/>
  <c r="I16" i="10"/>
  <c r="J15" i="10"/>
  <c r="I15" i="10"/>
  <c r="J14" i="10"/>
  <c r="I14" i="10"/>
  <c r="J13" i="10"/>
  <c r="H29" i="11"/>
  <c r="H30" i="11"/>
  <c r="H31" i="11"/>
  <c r="H32" i="11"/>
  <c r="H33" i="11"/>
  <c r="H34" i="11"/>
  <c r="H35" i="11"/>
  <c r="H36" i="11"/>
  <c r="H37" i="11"/>
  <c r="H38" i="11"/>
  <c r="H39" i="11"/>
  <c r="H40" i="11"/>
  <c r="H41" i="11"/>
  <c r="H42" i="11"/>
  <c r="H43" i="11"/>
  <c r="H44" i="11"/>
  <c r="H45" i="11"/>
  <c r="H46" i="11"/>
  <c r="H47" i="11"/>
  <c r="H48" i="11"/>
  <c r="H49" i="11"/>
  <c r="H50" i="11"/>
  <c r="H51" i="11"/>
  <c r="J51" i="11"/>
  <c r="J50" i="11"/>
  <c r="J49" i="11"/>
  <c r="J48" i="11"/>
  <c r="J47" i="11"/>
  <c r="J46" i="11"/>
  <c r="J45" i="11"/>
  <c r="J44" i="11"/>
  <c r="J43" i="11"/>
  <c r="J42" i="11"/>
  <c r="J41" i="11"/>
  <c r="J40" i="11"/>
  <c r="J39" i="11"/>
  <c r="J38" i="11"/>
  <c r="J37" i="11"/>
  <c r="J36" i="11"/>
  <c r="J35" i="11"/>
  <c r="J34" i="11"/>
  <c r="J33" i="11"/>
  <c r="J32" i="11"/>
  <c r="J31" i="11"/>
  <c r="J30" i="11"/>
  <c r="J29" i="11"/>
  <c r="D54" i="8"/>
  <c r="D53" i="8"/>
  <c r="E55" i="8"/>
  <c r="E54" i="8"/>
  <c r="E53" i="8"/>
  <c r="D55" i="8"/>
  <c r="E52" i="8"/>
  <c r="F52" i="8"/>
  <c r="F55" i="8"/>
  <c r="F54" i="8"/>
  <c r="F53" i="8"/>
  <c r="F17" i="11"/>
  <c r="F18" i="11"/>
  <c r="F19" i="11"/>
  <c r="F20" i="11"/>
  <c r="F21" i="11"/>
  <c r="F16" i="11"/>
  <c r="G23" i="11"/>
  <c r="G14" i="11"/>
  <c r="J44" i="9"/>
  <c r="I44" i="9"/>
  <c r="G44" i="9"/>
</calcChain>
</file>

<file path=xl/sharedStrings.xml><?xml version="1.0" encoding="utf-8"?>
<sst xmlns="http://schemas.openxmlformats.org/spreadsheetml/2006/main" count="458" uniqueCount="172">
  <si>
    <t>hours</t>
  </si>
  <si>
    <t>Net returns</t>
  </si>
  <si>
    <t>Fall</t>
  </si>
  <si>
    <t>Gross Income</t>
  </si>
  <si>
    <t>Pounds per sq ft</t>
  </si>
  <si>
    <t>Pounds per greenhouse</t>
  </si>
  <si>
    <t>Price or Charge</t>
  </si>
  <si>
    <t>Total</t>
  </si>
  <si>
    <t>per pound</t>
  </si>
  <si>
    <t xml:space="preserve">Variable costs - Annual expenses </t>
  </si>
  <si>
    <t>Production expenses</t>
  </si>
  <si>
    <t>Seeds</t>
  </si>
  <si>
    <t>per 100M seeds</t>
  </si>
  <si>
    <t>Media</t>
  </si>
  <si>
    <t>Living acres compost</t>
  </si>
  <si>
    <t>Bags</t>
  </si>
  <si>
    <t>Labor</t>
  </si>
  <si>
    <t>per hour</t>
  </si>
  <si>
    <t>tray filling</t>
  </si>
  <si>
    <t xml:space="preserve">planting </t>
  </si>
  <si>
    <t>harvesting</t>
  </si>
  <si>
    <t>watering</t>
  </si>
  <si>
    <t>packing</t>
  </si>
  <si>
    <t>marketing</t>
  </si>
  <si>
    <t>Annual Charges</t>
  </si>
  <si>
    <t>Amount or description</t>
  </si>
  <si>
    <t>Cost</t>
  </si>
  <si>
    <t>Life - years</t>
  </si>
  <si>
    <t>Interest (7%)</t>
  </si>
  <si>
    <t>Annualized</t>
  </si>
  <si>
    <t>Structure costs</t>
  </si>
  <si>
    <t>Frame</t>
  </si>
  <si>
    <t>Morton's 'H' Series Greenhouses</t>
  </si>
  <si>
    <t>End walls</t>
  </si>
  <si>
    <t>per sheet</t>
  </si>
  <si>
    <t>Heaters</t>
  </si>
  <si>
    <t>2 Heatmaster Oil Models 224000 BTU</t>
  </si>
  <si>
    <t>per unit</t>
  </si>
  <si>
    <t>Vents</t>
  </si>
  <si>
    <t>2 Shaefer Powered Shutters - 48" WS480</t>
  </si>
  <si>
    <t>Fans</t>
  </si>
  <si>
    <t>2 Schaefer Motorized Shutter-WS360</t>
  </si>
  <si>
    <t>HAF fans</t>
  </si>
  <si>
    <t>6 GreenTek 12" HAF Fan</t>
  </si>
  <si>
    <t>Inflation</t>
  </si>
  <si>
    <t>Outside Air Inflation System</t>
  </si>
  <si>
    <t>Plastic</t>
  </si>
  <si>
    <t>Cover</t>
  </si>
  <si>
    <t>Floor</t>
  </si>
  <si>
    <t>Trays</t>
  </si>
  <si>
    <t>per 25 units</t>
  </si>
  <si>
    <t xml:space="preserve">Misc. </t>
  </si>
  <si>
    <t>Scale</t>
  </si>
  <si>
    <t>EZ Weight PX</t>
  </si>
  <si>
    <t>clippers/knife</t>
  </si>
  <si>
    <t>2 Needle nose shears</t>
  </si>
  <si>
    <t>Harvest bins</t>
  </si>
  <si>
    <t>4, 7 gallon tubtrug</t>
  </si>
  <si>
    <t>Seeder</t>
  </si>
  <si>
    <t>Vibro hand seeder</t>
  </si>
  <si>
    <t>Washing</t>
  </si>
  <si>
    <t>Dynamic salad spinner</t>
  </si>
  <si>
    <t>Greenhouse repairs</t>
  </si>
  <si>
    <t>Interest (4%)</t>
  </si>
  <si>
    <t>Taxes and insurance</t>
  </si>
  <si>
    <t>Land Investment</t>
  </si>
  <si>
    <t>per acre</t>
  </si>
  <si>
    <t>Season</t>
  </si>
  <si>
    <t>Planting</t>
  </si>
  <si>
    <t>Start week</t>
  </si>
  <si>
    <t>End week</t>
  </si>
  <si>
    <t>Weeks of greenhouse use</t>
  </si>
  <si>
    <t>Fuel Use (gal)</t>
  </si>
  <si>
    <t>Fuel cost ($3.23/gal)</t>
  </si>
  <si>
    <t>Ajusted total fixed costs</t>
  </si>
  <si>
    <t>Fall Early</t>
  </si>
  <si>
    <t>Fall Late</t>
  </si>
  <si>
    <t>Gross income</t>
  </si>
  <si>
    <t>Annual Expenses</t>
  </si>
  <si>
    <t>Operating interest</t>
  </si>
  <si>
    <t>Net income above variable costs</t>
  </si>
  <si>
    <t>Temperature set point (F)</t>
  </si>
  <si>
    <t>Winter</t>
  </si>
  <si>
    <t>Media shipping</t>
  </si>
  <si>
    <t>per mile</t>
  </si>
  <si>
    <t>Benches</t>
  </si>
  <si>
    <t>per bench</t>
  </si>
  <si>
    <t>EZ grow pro  benches (4' x 8')</t>
  </si>
  <si>
    <t>Price</t>
  </si>
  <si>
    <t>Object</t>
  </si>
  <si>
    <t>Description</t>
  </si>
  <si>
    <t>Unit</t>
  </si>
  <si>
    <t>Total cost</t>
  </si>
  <si>
    <t>Greenhouse temperature (F)</t>
  </si>
  <si>
    <t>1 cb ft</t>
  </si>
  <si>
    <t xml:space="preserve">Greenhouse size </t>
  </si>
  <si>
    <t>Area</t>
  </si>
  <si>
    <t>Usable space</t>
  </si>
  <si>
    <t>3000 20 x 12" produce bags</t>
  </si>
  <si>
    <t>Crop</t>
  </si>
  <si>
    <t>Spinach</t>
  </si>
  <si>
    <t>Lettuce</t>
  </si>
  <si>
    <t>Mizuna</t>
  </si>
  <si>
    <t>Crop list</t>
  </si>
  <si>
    <t>Temperature</t>
  </si>
  <si>
    <t>Select a crop</t>
  </si>
  <si>
    <t>Spinach|40</t>
  </si>
  <si>
    <t>Spinach|50</t>
  </si>
  <si>
    <t>Lettuce|50</t>
  </si>
  <si>
    <t>Lettuce|40</t>
  </si>
  <si>
    <t>Mizuna|40</t>
  </si>
  <si>
    <t>Mizuna|50</t>
  </si>
  <si>
    <t>Activity</t>
  </si>
  <si>
    <t>Time spent</t>
  </si>
  <si>
    <t>Subtotal</t>
  </si>
  <si>
    <t xml:space="preserve"> Labor </t>
  </si>
  <si>
    <t>Rate per hour</t>
  </si>
  <si>
    <t>Fuel cost per gallon</t>
  </si>
  <si>
    <t xml:space="preserve">Fuel cost </t>
  </si>
  <si>
    <t xml:space="preserve">Weeks in greenhouse </t>
  </si>
  <si>
    <t>Acres</t>
  </si>
  <si>
    <t xml:space="preserve">Price </t>
  </si>
  <si>
    <t xml:space="preserve">6 Mil greenhouse poly  </t>
  </si>
  <si>
    <t xml:space="preserve">6 mil Tufflite Infrared Greenhouse Films </t>
  </si>
  <si>
    <t xml:space="preserve">Polypropylene Ground Cover </t>
  </si>
  <si>
    <t xml:space="preserve">Dillen 13”x 17” nursery flat, 25/cn, </t>
  </si>
  <si>
    <t>44 Hi-Core¨ XL Glazing Construction Panels</t>
  </si>
  <si>
    <t>Annual cost</t>
  </si>
  <si>
    <t>Weeks in greenhouse</t>
  </si>
  <si>
    <t>Fuel and Fixed costs</t>
  </si>
  <si>
    <t>Early</t>
  </si>
  <si>
    <t>Late</t>
  </si>
  <si>
    <t>Length (ft)</t>
  </si>
  <si>
    <t>Width (ft)</t>
  </si>
  <si>
    <t>Spring Early</t>
  </si>
  <si>
    <t>Spring Late</t>
  </si>
  <si>
    <t>Price per pound</t>
  </si>
  <si>
    <t>Greenhouse temperature</t>
  </si>
  <si>
    <t>Output</t>
  </si>
  <si>
    <t>Fuel cost</t>
  </si>
  <si>
    <t>Seasonal fixed costs</t>
  </si>
  <si>
    <t xml:space="preserve">Select a </t>
  </si>
  <si>
    <t>growing temperature</t>
  </si>
  <si>
    <t>Growing area</t>
  </si>
  <si>
    <t xml:space="preserve">Enterprise Budget for bench-top production of salad greens </t>
  </si>
  <si>
    <t>Crop: Mizuna</t>
  </si>
  <si>
    <t xml:space="preserve">Temperature: 50  </t>
  </si>
  <si>
    <t xml:space="preserve">Temperature: 40  </t>
  </si>
  <si>
    <t>Crop: Spinach</t>
  </si>
  <si>
    <t>Crop: Lettuce</t>
  </si>
  <si>
    <t>Late September</t>
  </si>
  <si>
    <t>Late October</t>
  </si>
  <si>
    <t>Late January</t>
  </si>
  <si>
    <t>Late March</t>
  </si>
  <si>
    <r>
      <t xml:space="preserve">Greenhouse investment costs </t>
    </r>
    <r>
      <rPr>
        <sz val="12"/>
        <color theme="1"/>
        <rFont val="Century Gothic"/>
        <family val="2"/>
      </rPr>
      <t>Fixed costs, or ownership costs are not tied directly to an enterprise budget.  They are the costs that would exist even if the crop were not grown, so it is hard to assign expenses correctly. The prices used in this budget were collected in fall 2013.  Depreciation is a way of matching investment costs with the period of time used.  This budget uses straight-line deprecation and assumes no salvage value for investments at the end of their useful life. Interest on each investment cost is calculated by dividing investment costs by two and multiplying by 7%.  This convention assumes a grower would, on average, have half of the purchase cost tied up in the investment over its useful life.</t>
    </r>
  </si>
  <si>
    <t xml:space="preserve">This enterprise budget aims to address the costs associated with producing salad greens grown on greenhouse bench-tops during the late fall and winter when New Hampshire markets often lack fresh produce.  Greenhouses used for seasonal bedding plant production go largely unused between October and February.  These greenhouses are usually equipped with growing benches that cannot be modified for traditional in-ground production.  Bench-top production of salad greens has two economic aims: First, provide a source of revenue during the off-season using a crop that generates sales greater than heating, labor and variable costs, and second, spread the fixed costs of the greenhouse infrastructure over another crop making the overall business more profitable. </t>
  </si>
  <si>
    <r>
      <rPr>
        <b/>
        <sz val="12"/>
        <color theme="1"/>
        <rFont val="Century Gothic"/>
        <family val="2"/>
      </rPr>
      <t>Claire Collie</t>
    </r>
    <r>
      <rPr>
        <sz val="12"/>
        <color theme="1"/>
        <rFont val="Century Gothic"/>
        <family val="2"/>
      </rPr>
      <t>, graduate student, Claire.Collie@wildcats.unh.edu</t>
    </r>
  </si>
  <si>
    <r>
      <rPr>
        <b/>
        <sz val="12"/>
        <color theme="1"/>
        <rFont val="Century Gothic"/>
        <family val="2"/>
      </rPr>
      <t>Michael R. Sciabarrasi,</t>
    </r>
    <r>
      <rPr>
        <sz val="12"/>
        <color theme="1"/>
        <rFont val="Century Gothic"/>
        <family val="2"/>
      </rPr>
      <t xml:space="preserve"> Extension Specialist, Agriculture Business Management, Mike.Sciabarrasi@unh.edu</t>
    </r>
  </si>
  <si>
    <r>
      <rPr>
        <b/>
        <sz val="12"/>
        <color theme="1"/>
        <rFont val="Century Gothic"/>
        <family val="2"/>
      </rPr>
      <t>Becky Sideman</t>
    </r>
    <r>
      <rPr>
        <sz val="12"/>
        <color theme="1"/>
        <rFont val="Century Gothic"/>
        <family val="2"/>
      </rPr>
      <t>, Extension Specialist, Sustainable Horticulture Production, Becky.Sideman@unh.edu</t>
    </r>
  </si>
  <si>
    <r>
      <rPr>
        <b/>
        <sz val="12"/>
        <color theme="1"/>
        <rFont val="Century Gothic"/>
        <family val="2"/>
      </rPr>
      <t>Brian Krug</t>
    </r>
    <r>
      <rPr>
        <sz val="12"/>
        <color theme="1"/>
        <rFont val="Century Gothic"/>
        <family val="2"/>
      </rPr>
      <t>, Extension Specialist, Greenhouse and Floriculture, brian.krug@unh.edu</t>
    </r>
  </si>
  <si>
    <t>This enterprise budget was developed by the following contributors:</t>
  </si>
  <si>
    <r>
      <t xml:space="preserve">Gross Income </t>
    </r>
    <r>
      <rPr>
        <sz val="12"/>
        <color theme="1"/>
        <rFont val="Century Gothic"/>
        <family val="2"/>
      </rPr>
      <t>Estimated gross income is based on the yield of these salad greens grown in Durham, NH during the fall and winter of 2012 and 2013. Estimated yield values are from salad greens harvested between 4 -5 inches for lettuce and mizuna, and 3 - 5 inches for spinach.</t>
    </r>
  </si>
  <si>
    <t>Yield (pounds per square foot)</t>
  </si>
  <si>
    <t>Yield (pounds per greenhouse)</t>
  </si>
  <si>
    <r>
      <rPr>
        <b/>
        <sz val="12"/>
        <color theme="1"/>
        <rFont val="Century Gothic"/>
        <family val="2"/>
      </rPr>
      <t xml:space="preserve">Adjusted fixed costs by seasonal planting </t>
    </r>
    <r>
      <rPr>
        <sz val="12"/>
        <color theme="1"/>
        <rFont val="Century Gothic"/>
        <family val="2"/>
      </rPr>
      <t xml:space="preserve">The total investment cost above is adjusted to reflect just the number of weeks a crop of salad greens is in the greenhouse.  </t>
    </r>
  </si>
  <si>
    <r>
      <t xml:space="preserve">This enterprise budget was prepared at the University of New Hampshire with data collected from 2011- 2013 through funding provided by the following organizations and the </t>
    </r>
    <r>
      <rPr>
        <b/>
        <sz val="12"/>
        <color theme="1"/>
        <rFont val="Century Gothic"/>
        <family val="2"/>
      </rPr>
      <t>Specialty Crop Block Grant</t>
    </r>
    <r>
      <rPr>
        <sz val="12"/>
        <color theme="1"/>
        <rFont val="Century Gothic"/>
        <family val="2"/>
      </rPr>
      <t xml:space="preserve"> "Feasibility of Using Existing Greenhouse Structures to Increase Production of Winter Vegetables and Herbs"</t>
    </r>
  </si>
  <si>
    <t>The selling price of salad greens can change throughout the year, and can drastically change the potential income. The price of baby salad greens ranges from $8 to $15 per pound according to data collected by NOFA-NH and MOFGA in 2014.  Here we show the net income above variable costs of all three salad greens at a range of prices per pound.</t>
  </si>
  <si>
    <t xml:space="preserve">How to use this budget: Use the top buttons to navigate between pages.  Any white area outlined in black can be edited to reflect your personal growing area. </t>
  </si>
  <si>
    <t>We evaluated over 25 different salad greens in a bench-top system over a three year period.  We picked three species to budget enterprise budgets for.  These three greens represent the growth rate and habits of most cool temperature tolerant salad greens.</t>
  </si>
  <si>
    <r>
      <t>Fuel use</t>
    </r>
    <r>
      <rPr>
        <sz val="12"/>
        <color rgb="FF000000"/>
        <rFont val="Century Gothic"/>
        <family val="2"/>
      </rPr>
      <t xml:space="preserve"> In this budget No. 2 heating oil is used as the source of fuel Fuel use for each crop of salad greens is based on Virtual Grower fuel use predictions for the length of time each crop is in the greenhouse.  Portsmouth, NH was used as the location in Virtual Grower.  Our empirical fuel use measurements were roughly half of those predicted by Virtual Grower.  Growers should calculate their own heating costs for the most accurate representation of fuel costs.  Virtual Grower can be downloaded from: http://www.ars.usda.gov/services/software/download.htm?softwareid=309</t>
    </r>
  </si>
  <si>
    <t>Depreciation</t>
  </si>
  <si>
    <t>Total Annual investments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</si>
</sst>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8" formatCode="&quot;$&quot;#,##0.00_);[Red]\(&quot;$&quot;#,##0.00\)"/>
    <numFmt numFmtId="44" formatCode="_(&quot;$&quot;* #,##0.00_);_(&quot;$&quot;* \(#,##0.00\);_(&quot;$&quot;* &quot;-&quot;??_);_(@_)"/>
    <numFmt numFmtId="164" formatCode="&quot;$&quot;#,##0.00"/>
    <numFmt numFmtId="165" formatCode="0.0"/>
    <numFmt numFmtId="166" formatCode="&quot;$&quot;#,##0"/>
  </numFmts>
  <fonts count="27" x14ac:knownFonts="1">
    <font>
      <sz val="10"/>
      <color theme="1"/>
      <name val="Century Gothic"/>
      <family val="2"/>
    </font>
    <font>
      <sz val="10"/>
      <color theme="1"/>
      <name val="Century Gothic"/>
      <family val="2"/>
    </font>
    <font>
      <b/>
      <sz val="12"/>
      <color theme="1"/>
      <name val="Century Gothic"/>
      <family val="2"/>
    </font>
    <font>
      <sz val="12"/>
      <color theme="1"/>
      <name val="Century Gothic"/>
      <family val="2"/>
    </font>
    <font>
      <u/>
      <sz val="10"/>
      <color theme="10"/>
      <name val="Century Gothic"/>
      <family val="2"/>
    </font>
    <font>
      <u/>
      <sz val="10"/>
      <color theme="11"/>
      <name val="Century Gothic"/>
      <family val="2"/>
    </font>
    <font>
      <sz val="12"/>
      <color rgb="FF000000"/>
      <name val="Century Gothic"/>
      <family val="2"/>
    </font>
    <font>
      <sz val="12"/>
      <color rgb="FFFF0000"/>
      <name val="Century Gothic"/>
      <family val="2"/>
    </font>
    <font>
      <sz val="12"/>
      <name val="Century Gothic"/>
      <family val="2"/>
    </font>
    <font>
      <b/>
      <sz val="12"/>
      <name val="Century Gothic"/>
    </font>
    <font>
      <sz val="12"/>
      <color rgb="FF222222"/>
      <name val="Century Gothic"/>
      <family val="2"/>
    </font>
    <font>
      <b/>
      <sz val="12"/>
      <color rgb="FF222222"/>
      <name val="Century Gothic"/>
      <family val="2"/>
    </font>
    <font>
      <b/>
      <sz val="12"/>
      <color rgb="FF000000"/>
      <name val="Century Gothic"/>
      <family val="2"/>
    </font>
    <font>
      <i/>
      <sz val="12"/>
      <color theme="1"/>
      <name val="Century Gothic"/>
    </font>
    <font>
      <i/>
      <sz val="10"/>
      <color theme="1"/>
      <name val="Century Gothic"/>
    </font>
    <font>
      <i/>
      <sz val="12"/>
      <color rgb="FF000000"/>
      <name val="Century Gothic"/>
    </font>
    <font>
      <b/>
      <sz val="16"/>
      <color theme="0"/>
      <name val="Century Gothic"/>
    </font>
    <font>
      <sz val="12"/>
      <color theme="8" tint="-0.499984740745262"/>
      <name val="Century Gothic"/>
    </font>
    <font>
      <sz val="10"/>
      <color theme="8" tint="-0.499984740745262"/>
      <name val="Century Gothic"/>
    </font>
    <font>
      <i/>
      <sz val="12"/>
      <name val="Century Gothic"/>
    </font>
    <font>
      <sz val="14"/>
      <color theme="1"/>
      <name val="Century Gothic"/>
    </font>
    <font>
      <sz val="18"/>
      <color theme="0"/>
      <name val="Century Gothic"/>
    </font>
    <font>
      <sz val="10"/>
      <color rgb="FF000000"/>
      <name val="Century Gothic"/>
      <family val="2"/>
    </font>
    <font>
      <sz val="16"/>
      <color theme="0"/>
      <name val="Century Gothic"/>
    </font>
    <font>
      <i/>
      <sz val="11"/>
      <color theme="1"/>
      <name val="Century Gothic"/>
    </font>
    <font>
      <sz val="8"/>
      <name val="Century Gothic"/>
      <family val="2"/>
    </font>
    <font>
      <sz val="12"/>
      <color rgb="FFFFFFFF"/>
      <name val="Century Gothic"/>
      <family val="2"/>
    </font>
  </fonts>
  <fills count="8">
    <fill>
      <patternFill patternType="none"/>
    </fill>
    <fill>
      <patternFill patternType="gray125"/>
    </fill>
    <fill>
      <patternFill patternType="solid">
        <fgColor theme="0"/>
        <bgColor indexed="64"/>
      </patternFill>
    </fill>
    <fill>
      <patternFill patternType="solid">
        <fgColor theme="8" tint="-0.499984740745262"/>
        <bgColor indexed="64"/>
      </patternFill>
    </fill>
    <fill>
      <patternFill patternType="solid">
        <fgColor theme="7" tint="0.79998168889431442"/>
        <bgColor indexed="64"/>
      </patternFill>
    </fill>
    <fill>
      <patternFill patternType="solid">
        <fgColor rgb="FF3E5A03"/>
        <bgColor rgb="FF000000"/>
      </patternFill>
    </fill>
    <fill>
      <patternFill patternType="solid">
        <fgColor rgb="FFFFF0CC"/>
        <bgColor rgb="FF000000"/>
      </patternFill>
    </fill>
    <fill>
      <patternFill patternType="solid">
        <fgColor theme="8" tint="-0.499984740745262"/>
        <bgColor rgb="FF000000"/>
      </patternFill>
    </fill>
  </fills>
  <borders count="24">
    <border>
      <left/>
      <right/>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756">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531">
    <xf numFmtId="0" fontId="0" fillId="0" borderId="0" xfId="0"/>
    <xf numFmtId="0" fontId="3" fillId="0" borderId="1" xfId="0" applyFont="1" applyBorder="1" applyAlignment="1">
      <alignment horizontal="center"/>
    </xf>
    <xf numFmtId="164" fontId="3" fillId="0" borderId="0" xfId="0" applyNumberFormat="1"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2" xfId="0" applyFont="1" applyBorder="1" applyAlignment="1">
      <alignment horizontal="center"/>
    </xf>
    <xf numFmtId="164" fontId="2" fillId="0" borderId="2" xfId="0" applyNumberFormat="1" applyFont="1" applyBorder="1" applyAlignment="1">
      <alignment horizontal="center"/>
    </xf>
    <xf numFmtId="0" fontId="2" fillId="0" borderId="1" xfId="0" applyFont="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horizontal="left"/>
    </xf>
    <xf numFmtId="164" fontId="3" fillId="0" borderId="1" xfId="0" applyNumberFormat="1" applyFont="1" applyBorder="1" applyAlignment="1">
      <alignment horizontal="center"/>
    </xf>
    <xf numFmtId="0" fontId="2" fillId="0" borderId="1" xfId="0" applyFont="1" applyBorder="1" applyAlignment="1">
      <alignment horizontal="center"/>
    </xf>
    <xf numFmtId="0" fontId="3" fillId="0" borderId="0" xfId="0" applyFont="1" applyBorder="1" applyAlignment="1">
      <alignment horizontal="center" vertical="center"/>
    </xf>
    <xf numFmtId="0" fontId="3" fillId="0" borderId="0" xfId="0" applyFont="1" applyBorder="1" applyAlignment="1">
      <alignment horizontal="left"/>
    </xf>
    <xf numFmtId="0" fontId="2" fillId="0" borderId="0" xfId="0" applyFont="1" applyBorder="1" applyAlignment="1">
      <alignment horizontal="center"/>
    </xf>
    <xf numFmtId="164" fontId="3" fillId="0" borderId="0" xfId="0" applyNumberFormat="1" applyFont="1" applyBorder="1" applyAlignment="1">
      <alignment horizontal="center" vertical="center"/>
    </xf>
    <xf numFmtId="0" fontId="6" fillId="0" borderId="0" xfId="0" applyFont="1" applyBorder="1" applyAlignment="1">
      <alignment horizontal="left" vertical="center" wrapText="1"/>
    </xf>
    <xf numFmtId="164" fontId="6" fillId="0" borderId="0" xfId="0" applyNumberFormat="1" applyFont="1" applyBorder="1" applyAlignment="1">
      <alignment horizontal="center" vertical="center" wrapText="1"/>
    </xf>
    <xf numFmtId="0" fontId="7" fillId="0" borderId="0" xfId="0" applyFont="1" applyBorder="1"/>
    <xf numFmtId="165" fontId="7" fillId="0" borderId="0" xfId="0" applyNumberFormat="1" applyFont="1" applyBorder="1" applyAlignment="1">
      <alignment horizontal="center"/>
    </xf>
    <xf numFmtId="164" fontId="7" fillId="0" borderId="0" xfId="0" applyNumberFormat="1" applyFont="1" applyBorder="1" applyAlignment="1">
      <alignment horizontal="center"/>
    </xf>
    <xf numFmtId="164" fontId="2" fillId="0" borderId="0" xfId="0" applyNumberFormat="1" applyFont="1" applyBorder="1" applyAlignment="1">
      <alignment horizontal="center"/>
    </xf>
    <xf numFmtId="164" fontId="3" fillId="0" borderId="0" xfId="0" applyNumberFormat="1" applyFont="1" applyBorder="1" applyAlignment="1">
      <alignment horizontal="center" vertical="center" wrapText="1"/>
    </xf>
    <xf numFmtId="165" fontId="3" fillId="0" borderId="0" xfId="0" applyNumberFormat="1" applyFont="1" applyBorder="1" applyAlignment="1">
      <alignment horizontal="center" vertical="center"/>
    </xf>
    <xf numFmtId="0" fontId="2" fillId="0" borderId="0" xfId="0" applyFont="1" applyBorder="1"/>
    <xf numFmtId="0" fontId="8" fillId="0" borderId="0" xfId="0" applyFont="1" applyBorder="1"/>
    <xf numFmtId="165" fontId="3" fillId="0" borderId="0" xfId="0" applyNumberFormat="1" applyFont="1" applyBorder="1" applyAlignment="1">
      <alignment horizontal="center"/>
    </xf>
    <xf numFmtId="165" fontId="8" fillId="0" borderId="0" xfId="0" applyNumberFormat="1" applyFont="1" applyBorder="1" applyAlignment="1">
      <alignment horizontal="center"/>
    </xf>
    <xf numFmtId="0" fontId="8" fillId="0" borderId="0" xfId="0" applyFont="1" applyBorder="1" applyAlignment="1">
      <alignment horizontal="left"/>
    </xf>
    <xf numFmtId="164" fontId="8" fillId="0" borderId="0" xfId="0" applyNumberFormat="1" applyFont="1" applyBorder="1" applyAlignment="1">
      <alignment horizontal="center"/>
    </xf>
    <xf numFmtId="0" fontId="9" fillId="0" borderId="0" xfId="0" applyFont="1" applyBorder="1"/>
    <xf numFmtId="0" fontId="2" fillId="0" borderId="2" xfId="0" applyFont="1" applyBorder="1"/>
    <xf numFmtId="0" fontId="2" fillId="0" borderId="2" xfId="0" applyFont="1" applyBorder="1" applyAlignment="1">
      <alignment horizontal="center" vertical="center"/>
    </xf>
    <xf numFmtId="0" fontId="2" fillId="0" borderId="2" xfId="0" applyFont="1" applyBorder="1" applyAlignment="1">
      <alignment horizontal="left"/>
    </xf>
    <xf numFmtId="164" fontId="2" fillId="0" borderId="2" xfId="0" applyNumberFormat="1" applyFont="1" applyBorder="1"/>
    <xf numFmtId="0" fontId="0" fillId="0" borderId="1" xfId="0" applyBorder="1"/>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horizontal="left" vertical="center" wrapText="1"/>
    </xf>
    <xf numFmtId="0" fontId="0" fillId="0" borderId="0" xfId="0" applyBorder="1"/>
    <xf numFmtId="164" fontId="2" fillId="0" borderId="0" xfId="0" applyNumberFormat="1" applyFont="1" applyBorder="1" applyAlignment="1">
      <alignment horizontal="center" vertical="center" wrapText="1"/>
    </xf>
    <xf numFmtId="0" fontId="2" fillId="0" borderId="0" xfId="0" applyFont="1" applyBorder="1" applyAlignment="1">
      <alignment horizontal="left" vertical="center" wrapText="1"/>
    </xf>
    <xf numFmtId="0" fontId="6" fillId="0" borderId="0" xfId="0" applyFont="1" applyBorder="1" applyAlignment="1">
      <alignment horizontal="center"/>
    </xf>
    <xf numFmtId="1" fontId="6" fillId="0" borderId="0" xfId="0" applyNumberFormat="1" applyFont="1" applyBorder="1" applyAlignment="1">
      <alignment horizontal="center" wrapText="1"/>
    </xf>
    <xf numFmtId="6" fontId="6" fillId="0" borderId="0" xfId="0" applyNumberFormat="1" applyFont="1" applyBorder="1" applyAlignment="1">
      <alignment horizontal="center" vertical="center" wrapText="1"/>
    </xf>
    <xf numFmtId="0" fontId="3" fillId="0" borderId="2" xfId="0" applyFont="1" applyFill="1" applyBorder="1" applyAlignment="1">
      <alignment horizontal="center"/>
    </xf>
    <xf numFmtId="0" fontId="6" fillId="0" borderId="2" xfId="0" applyFont="1" applyBorder="1" applyAlignment="1">
      <alignment horizontal="center"/>
    </xf>
    <xf numFmtId="1" fontId="6" fillId="0" borderId="2" xfId="0" applyNumberFormat="1" applyFont="1" applyBorder="1" applyAlignment="1">
      <alignment horizontal="center" wrapText="1"/>
    </xf>
    <xf numFmtId="0" fontId="3" fillId="0" borderId="0" xfId="0" applyFont="1" applyFill="1" applyBorder="1" applyAlignment="1">
      <alignment horizontal="center"/>
    </xf>
    <xf numFmtId="0" fontId="0" fillId="0" borderId="2" xfId="0" applyBorder="1"/>
    <xf numFmtId="0" fontId="6" fillId="0" borderId="1" xfId="0" applyFont="1" applyBorder="1" applyAlignment="1">
      <alignment horizontal="center"/>
    </xf>
    <xf numFmtId="1" fontId="6" fillId="0" borderId="1" xfId="0" applyNumberFormat="1" applyFont="1" applyBorder="1" applyAlignment="1">
      <alignment horizontal="center" wrapText="1"/>
    </xf>
    <xf numFmtId="0" fontId="3" fillId="0" borderId="0" xfId="0" applyFont="1" applyBorder="1" applyAlignment="1">
      <alignment vertical="center"/>
    </xf>
    <xf numFmtId="0" fontId="3" fillId="0" borderId="0" xfId="0" applyFont="1" applyBorder="1" applyAlignment="1">
      <alignment horizontal="left" vertical="center"/>
    </xf>
    <xf numFmtId="0" fontId="2" fillId="0" borderId="0" xfId="0" applyFont="1" applyBorder="1" applyAlignment="1">
      <alignment horizontal="center" vertical="center"/>
    </xf>
    <xf numFmtId="164" fontId="3" fillId="0" borderId="0" xfId="0" applyNumberFormat="1" applyFont="1" applyAlignment="1">
      <alignment horizontal="center" vertical="center"/>
    </xf>
    <xf numFmtId="0" fontId="2" fillId="0" borderId="0" xfId="0" applyFont="1" applyBorder="1" applyAlignment="1">
      <alignment horizontal="center" vertical="center" wrapText="1"/>
    </xf>
    <xf numFmtId="1" fontId="3" fillId="0" borderId="0" xfId="0" applyNumberFormat="1" applyFont="1" applyBorder="1" applyAlignment="1">
      <alignment horizontal="center" wrapText="1"/>
    </xf>
    <xf numFmtId="1" fontId="3" fillId="0" borderId="2" xfId="0" applyNumberFormat="1" applyFont="1" applyBorder="1" applyAlignment="1">
      <alignment horizontal="center" wrapText="1"/>
    </xf>
    <xf numFmtId="0" fontId="13" fillId="0" borderId="0" xfId="0" applyFont="1" applyBorder="1" applyAlignment="1">
      <alignment horizontal="center" vertical="center" wrapText="1"/>
    </xf>
    <xf numFmtId="0" fontId="15" fillId="0" borderId="0" xfId="0" applyFont="1" applyBorder="1" applyAlignment="1">
      <alignment horizontal="center" vertical="center"/>
    </xf>
    <xf numFmtId="0" fontId="13" fillId="0" borderId="0" xfId="0" applyFont="1" applyBorder="1" applyAlignment="1">
      <alignment horizontal="center" vertical="center"/>
    </xf>
    <xf numFmtId="0" fontId="15" fillId="0" borderId="0" xfId="0" applyFont="1" applyBorder="1" applyAlignment="1">
      <alignment horizontal="center" vertical="center" wrapText="1"/>
    </xf>
    <xf numFmtId="0" fontId="14" fillId="0" borderId="0" xfId="0" applyFont="1" applyBorder="1"/>
    <xf numFmtId="0" fontId="16" fillId="3" borderId="0" xfId="0" quotePrefix="1" applyFont="1" applyFill="1" applyAlignment="1">
      <alignment horizontal="left" vertical="center"/>
    </xf>
    <xf numFmtId="166" fontId="3" fillId="0" borderId="0" xfId="0" applyNumberFormat="1" applyFont="1" applyBorder="1" applyAlignment="1">
      <alignment horizontal="center" vertical="center" wrapText="1"/>
    </xf>
    <xf numFmtId="6" fontId="6" fillId="0" borderId="2" xfId="0" applyNumberFormat="1" applyFont="1" applyBorder="1" applyAlignment="1">
      <alignment horizontal="center" vertical="center" wrapText="1"/>
    </xf>
    <xf numFmtId="6" fontId="6" fillId="0" borderId="1" xfId="0" applyNumberFormat="1" applyFont="1" applyBorder="1" applyAlignment="1">
      <alignment horizontal="center" vertical="center" wrapText="1"/>
    </xf>
    <xf numFmtId="166" fontId="2" fillId="0" borderId="0" xfId="0" applyNumberFormat="1" applyFont="1" applyBorder="1" applyAlignment="1">
      <alignment horizontal="center"/>
    </xf>
    <xf numFmtId="164" fontId="2" fillId="0" borderId="2" xfId="0" applyNumberFormat="1" applyFont="1" applyBorder="1" applyAlignment="1">
      <alignment horizontal="center" vertical="center" wrapText="1"/>
    </xf>
    <xf numFmtId="0" fontId="3" fillId="0" borderId="1" xfId="0" applyFont="1" applyFill="1" applyBorder="1"/>
    <xf numFmtId="2" fontId="3" fillId="0" borderId="0" xfId="0" applyNumberFormat="1" applyFont="1" applyBorder="1" applyAlignment="1">
      <alignment horizontal="center" vertical="center"/>
    </xf>
    <xf numFmtId="0" fontId="3" fillId="0" borderId="0" xfId="0" quotePrefix="1" applyFont="1" applyBorder="1" applyAlignment="1">
      <alignment horizontal="left" vertical="center" wrapText="1"/>
    </xf>
    <xf numFmtId="0" fontId="7" fillId="0" borderId="0" xfId="0" applyFont="1" applyBorder="1" applyAlignment="1">
      <alignment horizontal="left"/>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2" fontId="3" fillId="0" borderId="0" xfId="0" applyNumberFormat="1" applyFont="1" applyBorder="1" applyAlignment="1">
      <alignment horizontal="center"/>
    </xf>
    <xf numFmtId="0" fontId="3" fillId="0" borderId="0" xfId="0" applyFont="1" applyBorder="1" applyAlignment="1"/>
    <xf numFmtId="0" fontId="7" fillId="0" borderId="0" xfId="0" applyFont="1" applyBorder="1" applyAlignment="1"/>
    <xf numFmtId="0" fontId="8" fillId="0" borderId="0" xfId="0" applyFont="1" applyBorder="1" applyAlignment="1"/>
    <xf numFmtId="0" fontId="0" fillId="3" borderId="0" xfId="0" applyFill="1"/>
    <xf numFmtId="49" fontId="3" fillId="0" borderId="0" xfId="0" applyNumberFormat="1" applyFont="1" applyBorder="1" applyAlignment="1">
      <alignment horizontal="center" vertical="center"/>
    </xf>
    <xf numFmtId="2" fontId="3" fillId="0" borderId="0" xfId="0" applyNumberFormat="1" applyFont="1" applyBorder="1" applyAlignment="1">
      <alignment horizontal="center" vertical="center" wrapText="1"/>
    </xf>
    <xf numFmtId="2" fontId="3" fillId="0" borderId="1" xfId="0" applyNumberFormat="1" applyFont="1" applyBorder="1" applyAlignment="1">
      <alignment horizontal="center"/>
    </xf>
    <xf numFmtId="2" fontId="6" fillId="0" borderId="1" xfId="0" applyNumberFormat="1" applyFont="1" applyBorder="1" applyAlignment="1">
      <alignment horizontal="center" vertical="center"/>
    </xf>
    <xf numFmtId="2" fontId="3" fillId="0" borderId="1" xfId="0" applyNumberFormat="1" applyFont="1" applyBorder="1" applyAlignment="1">
      <alignment horizontal="center" vertical="center"/>
    </xf>
    <xf numFmtId="2" fontId="6" fillId="0" borderId="0" xfId="0" applyNumberFormat="1" applyFont="1" applyBorder="1" applyAlignment="1">
      <alignment horizontal="center" vertical="center"/>
    </xf>
    <xf numFmtId="2" fontId="6" fillId="0" borderId="0" xfId="0" applyNumberFormat="1" applyFont="1" applyFill="1" applyBorder="1" applyAlignment="1">
      <alignment horizontal="center" vertical="center"/>
    </xf>
    <xf numFmtId="2" fontId="3" fillId="0" borderId="0" xfId="0" applyNumberFormat="1" applyFont="1" applyFill="1" applyBorder="1" applyAlignment="1">
      <alignment horizontal="center"/>
    </xf>
    <xf numFmtId="2" fontId="3" fillId="0" borderId="2" xfId="0" applyNumberFormat="1" applyFont="1" applyFill="1" applyBorder="1" applyAlignment="1">
      <alignment horizontal="center"/>
    </xf>
    <xf numFmtId="2" fontId="0" fillId="0" borderId="1" xfId="0" applyNumberFormat="1" applyBorder="1"/>
    <xf numFmtId="2" fontId="0" fillId="0" borderId="0" xfId="0" applyNumberFormat="1" applyBorder="1"/>
    <xf numFmtId="2" fontId="0" fillId="0" borderId="2" xfId="0" applyNumberFormat="1" applyBorder="1"/>
    <xf numFmtId="2" fontId="6" fillId="0" borderId="2" xfId="0" applyNumberFormat="1" applyFont="1" applyFill="1" applyBorder="1" applyAlignment="1">
      <alignment horizontal="center" vertical="center"/>
    </xf>
    <xf numFmtId="0" fontId="18" fillId="3" borderId="0" xfId="0" applyFont="1" applyFill="1"/>
    <xf numFmtId="0" fontId="17" fillId="3" borderId="0" xfId="0" applyFont="1" applyFill="1"/>
    <xf numFmtId="0" fontId="3" fillId="3" borderId="0" xfId="0" applyFont="1" applyFill="1" applyBorder="1" applyAlignment="1">
      <alignment horizontal="center" vertical="center" wrapText="1"/>
    </xf>
    <xf numFmtId="0" fontId="3" fillId="3" borderId="0" xfId="0" applyFont="1" applyFill="1" applyBorder="1"/>
    <xf numFmtId="0" fontId="3" fillId="3" borderId="0" xfId="0" applyFont="1" applyFill="1" applyBorder="1" applyAlignment="1">
      <alignment vertical="center"/>
    </xf>
    <xf numFmtId="0" fontId="8" fillId="3" borderId="0" xfId="0" applyFont="1" applyFill="1" applyBorder="1"/>
    <xf numFmtId="0" fontId="14" fillId="3" borderId="0" xfId="0" applyFont="1" applyFill="1" applyBorder="1"/>
    <xf numFmtId="0" fontId="0" fillId="3" borderId="0" xfId="0" applyFill="1" applyBorder="1"/>
    <xf numFmtId="0" fontId="2" fillId="3" borderId="0" xfId="0" applyFont="1" applyFill="1" applyBorder="1"/>
    <xf numFmtId="0" fontId="3" fillId="3" borderId="0" xfId="0" applyFont="1" applyFill="1" applyBorder="1" applyAlignment="1">
      <alignment horizontal="center"/>
    </xf>
    <xf numFmtId="9" fontId="3" fillId="3" borderId="0" xfId="0" applyNumberFormat="1" applyFont="1" applyFill="1" applyBorder="1" applyAlignment="1">
      <alignment horizontal="center"/>
    </xf>
    <xf numFmtId="0" fontId="2" fillId="3" borderId="0" xfId="0" applyFont="1" applyFill="1" applyBorder="1" applyAlignment="1">
      <alignment horizontal="left" vertical="center"/>
    </xf>
    <xf numFmtId="0" fontId="3" fillId="3" borderId="0" xfId="0" applyFont="1" applyFill="1" applyBorder="1" applyAlignment="1">
      <alignment horizontal="left" vertical="center"/>
    </xf>
    <xf numFmtId="0" fontId="2" fillId="3" borderId="0" xfId="0" applyFont="1" applyFill="1" applyBorder="1" applyAlignment="1">
      <alignment horizontal="center" vertical="center"/>
    </xf>
    <xf numFmtId="0" fontId="6" fillId="3" borderId="0" xfId="0" applyFont="1" applyFill="1" applyBorder="1" applyAlignment="1">
      <alignment horizontal="left" vertical="center" wrapText="1"/>
    </xf>
    <xf numFmtId="164" fontId="2" fillId="3" borderId="0" xfId="0" applyNumberFormat="1" applyFont="1" applyFill="1" applyBorder="1" applyAlignment="1">
      <alignment horizontal="center"/>
    </xf>
    <xf numFmtId="0" fontId="2" fillId="3" borderId="0" xfId="0" applyFont="1" applyFill="1" applyBorder="1" applyAlignment="1">
      <alignment horizontal="left"/>
    </xf>
    <xf numFmtId="164" fontId="2" fillId="3" borderId="0" xfId="0" applyNumberFormat="1" applyFont="1" applyFill="1" applyBorder="1"/>
    <xf numFmtId="0" fontId="6" fillId="3" borderId="0" xfId="0" applyFont="1" applyFill="1" applyBorder="1" applyAlignment="1">
      <alignment vertical="center" wrapText="1"/>
    </xf>
    <xf numFmtId="0" fontId="2" fillId="4" borderId="0" xfId="0" applyFont="1" applyFill="1" applyBorder="1" applyAlignment="1">
      <alignment horizontal="left" vertical="center"/>
    </xf>
    <xf numFmtId="0" fontId="3" fillId="4" borderId="0" xfId="0" applyFont="1" applyFill="1" applyBorder="1"/>
    <xf numFmtId="0" fontId="13" fillId="4" borderId="0" xfId="0" applyFont="1" applyFill="1" applyBorder="1" applyAlignment="1">
      <alignment horizontal="center" vertical="center"/>
    </xf>
    <xf numFmtId="9" fontId="3" fillId="4" borderId="0" xfId="0" applyNumberFormat="1" applyFont="1" applyFill="1" applyBorder="1" applyAlignment="1">
      <alignment horizontal="center"/>
    </xf>
    <xf numFmtId="0" fontId="13" fillId="4" borderId="0" xfId="0" applyFont="1" applyFill="1" applyBorder="1" applyAlignment="1">
      <alignment horizontal="center" vertical="center" wrapText="1"/>
    </xf>
    <xf numFmtId="0" fontId="2" fillId="4" borderId="0" xfId="0" applyFont="1" applyFill="1" applyBorder="1" applyAlignment="1">
      <alignment horizontal="left" vertical="center" wrapText="1"/>
    </xf>
    <xf numFmtId="0" fontId="0" fillId="4" borderId="0" xfId="0" applyFill="1" applyBorder="1"/>
    <xf numFmtId="0" fontId="3" fillId="4" borderId="0" xfId="0" applyFont="1" applyFill="1" applyBorder="1" applyAlignment="1">
      <alignment horizontal="center" vertical="center"/>
    </xf>
    <xf numFmtId="0" fontId="3" fillId="4" borderId="0" xfId="0" applyFont="1" applyFill="1" applyBorder="1" applyAlignment="1">
      <alignment horizontal="left"/>
    </xf>
    <xf numFmtId="164" fontId="3" fillId="4" borderId="0" xfId="0" applyNumberFormat="1" applyFont="1" applyFill="1" applyBorder="1" applyAlignment="1">
      <alignment horizontal="center"/>
    </xf>
    <xf numFmtId="0" fontId="2" fillId="4" borderId="0" xfId="0" applyFont="1" applyFill="1" applyBorder="1" applyAlignment="1">
      <alignment horizontal="center"/>
    </xf>
    <xf numFmtId="0" fontId="13" fillId="4" borderId="0" xfId="0" applyFont="1" applyFill="1" applyBorder="1" applyAlignment="1">
      <alignment horizontal="left" vertical="center"/>
    </xf>
    <xf numFmtId="0" fontId="3" fillId="4" borderId="0" xfId="0" applyFont="1" applyFill="1" applyBorder="1" applyAlignment="1">
      <alignment horizontal="left" vertical="center" wrapText="1"/>
    </xf>
    <xf numFmtId="0" fontId="3" fillId="4" borderId="0" xfId="0" applyFont="1" applyFill="1" applyBorder="1" applyAlignment="1">
      <alignment horizontal="left" vertical="center"/>
    </xf>
    <xf numFmtId="164" fontId="3" fillId="4" borderId="0" xfId="0" applyNumberFormat="1" applyFont="1" applyFill="1" applyBorder="1" applyAlignment="1">
      <alignment horizontal="center" vertical="center"/>
    </xf>
    <xf numFmtId="0" fontId="6" fillId="4" borderId="0" xfId="0" applyFont="1" applyFill="1" applyBorder="1" applyAlignment="1">
      <alignment horizontal="left" vertical="center" wrapText="1"/>
    </xf>
    <xf numFmtId="164" fontId="6" fillId="4" borderId="0" xfId="0" applyNumberFormat="1" applyFont="1" applyFill="1" applyBorder="1" applyAlignment="1">
      <alignment horizontal="center" vertical="center" wrapText="1"/>
    </xf>
    <xf numFmtId="0" fontId="8" fillId="4" borderId="0" xfId="0" applyFont="1" applyFill="1" applyBorder="1" applyAlignment="1">
      <alignment horizontal="left"/>
    </xf>
    <xf numFmtId="0" fontId="2" fillId="4" borderId="0" xfId="0" applyFont="1" applyFill="1" applyBorder="1" applyAlignment="1">
      <alignment horizontal="left"/>
    </xf>
    <xf numFmtId="0" fontId="6" fillId="4" borderId="0" xfId="0" applyFont="1" applyFill="1" applyBorder="1"/>
    <xf numFmtId="0" fontId="15" fillId="4" borderId="0" xfId="0" applyFont="1" applyFill="1" applyBorder="1" applyAlignment="1">
      <alignment horizontal="center" vertical="center" wrapText="1"/>
    </xf>
    <xf numFmtId="0" fontId="6" fillId="4" borderId="0" xfId="0" applyFont="1" applyFill="1" applyBorder="1" applyAlignment="1">
      <alignment horizontal="center"/>
    </xf>
    <xf numFmtId="0" fontId="3" fillId="4" borderId="0" xfId="0" quotePrefix="1" applyFont="1" applyFill="1" applyBorder="1" applyAlignment="1">
      <alignment horizontal="left" vertical="center" wrapText="1"/>
    </xf>
    <xf numFmtId="164" fontId="6" fillId="4" borderId="0" xfId="0" applyNumberFormat="1" applyFont="1" applyFill="1" applyBorder="1" applyAlignment="1">
      <alignment horizontal="left" vertical="center" wrapText="1"/>
    </xf>
    <xf numFmtId="164" fontId="6" fillId="3" borderId="0" xfId="0" applyNumberFormat="1" applyFont="1" applyFill="1" applyBorder="1" applyAlignment="1">
      <alignment horizontal="left" vertical="center" wrapText="1"/>
    </xf>
    <xf numFmtId="0" fontId="0" fillId="4" borderId="0" xfId="0" applyFill="1" applyBorder="1" applyAlignment="1">
      <alignment horizontal="left"/>
    </xf>
    <xf numFmtId="0" fontId="6" fillId="4" borderId="0" xfId="0" applyFont="1" applyFill="1" applyBorder="1" applyAlignment="1">
      <alignment horizontal="right"/>
    </xf>
    <xf numFmtId="0" fontId="19" fillId="4" borderId="0" xfId="0" applyFont="1" applyFill="1" applyBorder="1" applyAlignment="1">
      <alignment horizontal="left" vertical="center"/>
    </xf>
    <xf numFmtId="166" fontId="6" fillId="4" borderId="0" xfId="0" applyNumberFormat="1" applyFont="1" applyFill="1" applyBorder="1" applyAlignment="1">
      <alignment horizontal="center" vertical="center" wrapText="1"/>
    </xf>
    <xf numFmtId="1" fontId="3" fillId="4" borderId="0" xfId="0" applyNumberFormat="1" applyFont="1" applyFill="1" applyBorder="1" applyAlignment="1">
      <alignment horizontal="center" vertical="center"/>
    </xf>
    <xf numFmtId="166" fontId="3" fillId="4" borderId="0" xfId="0" applyNumberFormat="1" applyFont="1" applyFill="1" applyBorder="1" applyAlignment="1">
      <alignment horizontal="center" vertical="center"/>
    </xf>
    <xf numFmtId="166" fontId="3" fillId="4" borderId="0" xfId="0" applyNumberFormat="1" applyFont="1" applyFill="1" applyBorder="1" applyAlignment="1">
      <alignment horizontal="center" vertical="center" wrapText="1"/>
    </xf>
    <xf numFmtId="1" fontId="3"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xf>
    <xf numFmtId="0" fontId="2" fillId="0" borderId="0" xfId="0" applyFont="1" applyBorder="1" applyAlignment="1">
      <alignment horizontal="left"/>
    </xf>
    <xf numFmtId="164" fontId="2" fillId="0" borderId="0" xfId="0" applyNumberFormat="1" applyFont="1" applyBorder="1"/>
    <xf numFmtId="0" fontId="3" fillId="0" borderId="0" xfId="0" applyFont="1" applyFill="1" applyBorder="1"/>
    <xf numFmtId="0" fontId="2" fillId="0" borderId="0" xfId="0" applyFont="1"/>
    <xf numFmtId="0" fontId="3" fillId="0" borderId="2" xfId="0" applyFont="1" applyBorder="1" applyAlignment="1">
      <alignment horizontal="center" vertical="center" wrapText="1"/>
    </xf>
    <xf numFmtId="0" fontId="0" fillId="0" borderId="0" xfId="0" applyFill="1" applyBorder="1"/>
    <xf numFmtId="0" fontId="8" fillId="4" borderId="0" xfId="0" applyFont="1" applyFill="1" applyBorder="1" applyAlignment="1">
      <alignment horizontal="right"/>
    </xf>
    <xf numFmtId="6" fontId="2" fillId="4" borderId="0" xfId="0" applyNumberFormat="1" applyFont="1" applyFill="1" applyBorder="1" applyAlignment="1">
      <alignment horizontal="center"/>
    </xf>
    <xf numFmtId="164" fontId="2" fillId="4" borderId="0" xfId="0" applyNumberFormat="1" applyFont="1" applyFill="1" applyBorder="1" applyAlignment="1">
      <alignment horizontal="center"/>
    </xf>
    <xf numFmtId="164" fontId="13" fillId="4" borderId="0" xfId="0" applyNumberFormat="1" applyFont="1" applyFill="1" applyBorder="1" applyAlignment="1">
      <alignment horizontal="center" vertical="center"/>
    </xf>
    <xf numFmtId="164" fontId="6" fillId="3" borderId="0" xfId="0" applyNumberFormat="1" applyFont="1" applyFill="1" applyBorder="1" applyAlignment="1">
      <alignment horizontal="center" vertical="center" wrapText="1"/>
    </xf>
    <xf numFmtId="0" fontId="8" fillId="4" borderId="0" xfId="0" applyFont="1" applyFill="1" applyBorder="1" applyAlignment="1">
      <alignment horizontal="center"/>
    </xf>
    <xf numFmtId="0" fontId="19" fillId="4" borderId="0" xfId="0" applyFont="1" applyFill="1" applyBorder="1" applyAlignment="1">
      <alignment horizontal="center" vertical="center"/>
    </xf>
    <xf numFmtId="0" fontId="18" fillId="3" borderId="0" xfId="0" applyFont="1" applyFill="1" applyAlignment="1">
      <alignment vertical="center"/>
    </xf>
    <xf numFmtId="0" fontId="0" fillId="3" borderId="0" xfId="0" applyFont="1" applyFill="1" applyAlignment="1">
      <alignment horizontal="center" vertical="center"/>
    </xf>
    <xf numFmtId="0" fontId="18" fillId="3" borderId="10" xfId="0" applyFont="1" applyFill="1" applyBorder="1"/>
    <xf numFmtId="166" fontId="13" fillId="4" borderId="0" xfId="0" applyNumberFormat="1" applyFont="1" applyFill="1" applyBorder="1" applyAlignment="1">
      <alignment horizontal="center" vertical="center"/>
    </xf>
    <xf numFmtId="0" fontId="22" fillId="5" borderId="0" xfId="0" applyFont="1" applyFill="1"/>
    <xf numFmtId="0" fontId="0" fillId="3" borderId="0" xfId="0" applyFont="1" applyFill="1" applyBorder="1" applyAlignment="1">
      <alignment horizontal="center" vertical="center"/>
    </xf>
    <xf numFmtId="0" fontId="22" fillId="7" borderId="0" xfId="0" applyFont="1" applyFill="1"/>
    <xf numFmtId="0" fontId="2" fillId="0" borderId="0" xfId="0" applyFont="1" applyFill="1" applyBorder="1" applyAlignment="1">
      <alignment horizontal="left" vertical="center"/>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Border="1"/>
    <xf numFmtId="0" fontId="3" fillId="0" borderId="2" xfId="0" applyFont="1" applyBorder="1" applyAlignment="1">
      <alignment horizontal="center" vertical="center"/>
    </xf>
    <xf numFmtId="164" fontId="3" fillId="0" borderId="2" xfId="0" applyNumberFormat="1" applyFont="1" applyBorder="1" applyAlignment="1">
      <alignment horizontal="center"/>
    </xf>
    <xf numFmtId="0" fontId="2" fillId="0" borderId="1" xfId="0"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166" fontId="3" fillId="0" borderId="1" xfId="0" applyNumberFormat="1" applyFont="1" applyBorder="1" applyAlignment="1">
      <alignment horizontal="center" vertical="center" wrapText="1"/>
    </xf>
    <xf numFmtId="166" fontId="2" fillId="0" borderId="1" xfId="0" applyNumberFormat="1" applyFont="1" applyBorder="1" applyAlignment="1">
      <alignment horizontal="center"/>
    </xf>
    <xf numFmtId="0" fontId="2" fillId="0" borderId="2" xfId="0" applyFont="1" applyBorder="1" applyAlignment="1">
      <alignment horizontal="left" vertical="center" wrapText="1"/>
    </xf>
    <xf numFmtId="49" fontId="3" fillId="0" borderId="2" xfId="0" applyNumberFormat="1" applyFont="1" applyBorder="1" applyAlignment="1">
      <alignment horizontal="center" vertical="center"/>
    </xf>
    <xf numFmtId="0" fontId="0" fillId="0" borderId="2" xfId="0" applyFill="1" applyBorder="1"/>
    <xf numFmtId="166" fontId="3" fillId="0" borderId="2" xfId="0" applyNumberFormat="1" applyFont="1" applyBorder="1" applyAlignment="1">
      <alignment horizontal="center" vertical="center" wrapText="1"/>
    </xf>
    <xf numFmtId="166" fontId="2" fillId="0" borderId="2" xfId="0" applyNumberFormat="1" applyFont="1" applyBorder="1" applyAlignment="1">
      <alignment horizontal="center"/>
    </xf>
    <xf numFmtId="2" fontId="3" fillId="0" borderId="1" xfId="0" applyNumberFormat="1" applyFont="1" applyBorder="1" applyAlignment="1">
      <alignment horizontal="center" vertical="center" wrapText="1"/>
    </xf>
    <xf numFmtId="2" fontId="3" fillId="0" borderId="2" xfId="0" applyNumberFormat="1" applyFont="1" applyBorder="1" applyAlignment="1">
      <alignment horizontal="center"/>
    </xf>
    <xf numFmtId="164" fontId="2" fillId="0" borderId="1" xfId="0" applyNumberFormat="1" applyFont="1" applyBorder="1" applyAlignment="1">
      <alignment horizontal="center"/>
    </xf>
    <xf numFmtId="0" fontId="23" fillId="3" borderId="0" xfId="0" quotePrefix="1" applyFont="1" applyFill="1" applyAlignment="1">
      <alignment horizontal="left" vertical="center"/>
    </xf>
    <xf numFmtId="0" fontId="18" fillId="3" borderId="0" xfId="0" applyFont="1" applyFill="1" applyBorder="1"/>
    <xf numFmtId="166" fontId="3" fillId="4" borderId="0" xfId="0" applyNumberFormat="1" applyFont="1" applyFill="1" applyBorder="1" applyAlignment="1">
      <alignment horizontal="left" vertical="center" wrapText="1"/>
    </xf>
    <xf numFmtId="0" fontId="0" fillId="3" borderId="0" xfId="0" applyFont="1" applyFill="1" applyBorder="1" applyAlignment="1">
      <alignment horizontal="center" vertical="center" wrapText="1"/>
    </xf>
    <xf numFmtId="6" fontId="0" fillId="3" borderId="0" xfId="0" applyNumberFormat="1" applyFont="1" applyFill="1" applyBorder="1" applyAlignment="1">
      <alignment horizontal="center" vertical="center"/>
    </xf>
    <xf numFmtId="8" fontId="0" fillId="3" borderId="0" xfId="0" applyNumberFormat="1" applyFont="1" applyFill="1" applyBorder="1" applyAlignment="1">
      <alignment horizontal="center" vertical="center"/>
    </xf>
    <xf numFmtId="1" fontId="3" fillId="4" borderId="0" xfId="0" applyNumberFormat="1" applyFont="1" applyFill="1" applyBorder="1" applyAlignment="1">
      <alignment horizontal="center"/>
    </xf>
    <xf numFmtId="1" fontId="8" fillId="4" borderId="0" xfId="0" applyNumberFormat="1" applyFont="1" applyFill="1" applyBorder="1" applyAlignment="1">
      <alignment horizontal="center"/>
    </xf>
    <xf numFmtId="0" fontId="3" fillId="0" borderId="2" xfId="0" applyNumberFormat="1" applyFont="1" applyBorder="1" applyAlignment="1">
      <alignment horizontal="center"/>
    </xf>
    <xf numFmtId="0" fontId="7" fillId="0" borderId="0" xfId="0" applyFont="1" applyBorder="1" applyAlignment="1">
      <alignment horizontal="left" vertical="center" wrapText="1"/>
    </xf>
    <xf numFmtId="2" fontId="7" fillId="0" borderId="0" xfId="0" applyNumberFormat="1" applyFont="1" applyBorder="1" applyAlignment="1">
      <alignment horizontal="center" vertical="center" wrapText="1"/>
    </xf>
    <xf numFmtId="49" fontId="7" fillId="0" borderId="0" xfId="0" applyNumberFormat="1" applyFont="1" applyBorder="1" applyAlignment="1">
      <alignment wrapText="1"/>
    </xf>
    <xf numFmtId="2" fontId="7" fillId="0" borderId="0" xfId="0" applyNumberFormat="1" applyFont="1" applyBorder="1" applyAlignment="1">
      <alignment horizontal="center" wrapText="1"/>
    </xf>
    <xf numFmtId="49" fontId="7" fillId="0" borderId="0" xfId="0" applyNumberFormat="1" applyFont="1" applyBorder="1" applyAlignment="1">
      <alignment vertical="center"/>
    </xf>
    <xf numFmtId="2" fontId="7" fillId="0" borderId="0" xfId="0" applyNumberFormat="1" applyFont="1" applyBorder="1" applyAlignment="1">
      <alignment horizontal="center" vertical="center"/>
    </xf>
    <xf numFmtId="0" fontId="7" fillId="0" borderId="2" xfId="0" applyFont="1" applyBorder="1" applyAlignment="1">
      <alignment horizontal="left" vertical="center" wrapText="1"/>
    </xf>
    <xf numFmtId="2" fontId="7" fillId="0" borderId="2" xfId="0" applyNumberFormat="1" applyFont="1" applyBorder="1" applyAlignment="1">
      <alignment horizontal="center" vertical="center" wrapText="1"/>
    </xf>
    <xf numFmtId="49" fontId="7" fillId="0" borderId="2" xfId="0" applyNumberFormat="1" applyFont="1" applyBorder="1" applyAlignment="1">
      <alignment vertical="center" wrapText="1"/>
    </xf>
    <xf numFmtId="0" fontId="3" fillId="4" borderId="0" xfId="0" applyFont="1" applyFill="1" applyBorder="1" applyAlignment="1">
      <alignment horizontal="center"/>
    </xf>
    <xf numFmtId="49" fontId="3" fillId="4" borderId="0" xfId="0" applyNumberFormat="1" applyFont="1" applyFill="1" applyBorder="1" applyAlignment="1">
      <alignment horizontal="left" vertical="center" wrapText="1"/>
    </xf>
    <xf numFmtId="0" fontId="7" fillId="0" borderId="0" xfId="0" applyNumberFormat="1" applyFont="1" applyBorder="1" applyAlignment="1">
      <alignment horizontal="left" wrapText="1"/>
    </xf>
    <xf numFmtId="0" fontId="7" fillId="0" borderId="0" xfId="0" applyNumberFormat="1" applyFont="1" applyBorder="1" applyAlignment="1">
      <alignment horizontal="left" vertical="center" wrapText="1"/>
    </xf>
    <xf numFmtId="0" fontId="7" fillId="0" borderId="2" xfId="0" applyNumberFormat="1" applyFont="1" applyBorder="1" applyAlignment="1">
      <alignment horizontal="left" vertical="center" wrapText="1"/>
    </xf>
    <xf numFmtId="0" fontId="0" fillId="3" borderId="0" xfId="0" applyFill="1" applyAlignment="1">
      <alignment vertical="center" wrapText="1"/>
    </xf>
    <xf numFmtId="0" fontId="0" fillId="4" borderId="17" xfId="0" applyFill="1" applyBorder="1" applyAlignment="1">
      <alignment vertical="center" wrapText="1"/>
    </xf>
    <xf numFmtId="0" fontId="0" fillId="4" borderId="0" xfId="0" applyFill="1" applyBorder="1" applyAlignment="1">
      <alignment vertical="center" wrapText="1"/>
    </xf>
    <xf numFmtId="49" fontId="2" fillId="4" borderId="22" xfId="0" applyNumberFormat="1" applyFont="1" applyFill="1" applyBorder="1" applyAlignment="1">
      <alignment horizontal="center" vertical="center"/>
    </xf>
    <xf numFmtId="0" fontId="2" fillId="4" borderId="22" xfId="0" applyFont="1" applyFill="1" applyBorder="1" applyAlignment="1">
      <alignment horizontal="center" vertical="center"/>
    </xf>
    <xf numFmtId="0" fontId="17" fillId="4" borderId="15" xfId="0" applyFont="1" applyFill="1" applyBorder="1"/>
    <xf numFmtId="0" fontId="17" fillId="4" borderId="1" xfId="0" applyFont="1" applyFill="1" applyBorder="1"/>
    <xf numFmtId="0" fontId="2" fillId="4" borderId="1" xfId="0" applyFont="1" applyFill="1" applyBorder="1" applyAlignment="1">
      <alignment vertical="top" wrapText="1"/>
    </xf>
    <xf numFmtId="0" fontId="2" fillId="4" borderId="16" xfId="0" applyFont="1" applyFill="1" applyBorder="1" applyAlignment="1">
      <alignment vertical="top" wrapText="1"/>
    </xf>
    <xf numFmtId="0" fontId="3" fillId="4" borderId="18" xfId="0" applyFont="1" applyFill="1" applyBorder="1"/>
    <xf numFmtId="0" fontId="3" fillId="4" borderId="17" xfId="0" applyFont="1" applyFill="1" applyBorder="1"/>
    <xf numFmtId="0" fontId="3" fillId="4" borderId="19" xfId="0" applyFont="1" applyFill="1" applyBorder="1"/>
    <xf numFmtId="0" fontId="3" fillId="4" borderId="2" xfId="0" applyFont="1" applyFill="1" applyBorder="1" applyAlignment="1">
      <alignment horizontal="center"/>
    </xf>
    <xf numFmtId="9" fontId="3" fillId="4" borderId="2" xfId="0" applyNumberFormat="1" applyFont="1" applyFill="1" applyBorder="1" applyAlignment="1">
      <alignment horizontal="center"/>
    </xf>
    <xf numFmtId="0" fontId="3" fillId="4" borderId="2" xfId="0" applyFont="1" applyFill="1" applyBorder="1"/>
    <xf numFmtId="0" fontId="3" fillId="4" borderId="20" xfId="0" applyFont="1" applyFill="1" applyBorder="1"/>
    <xf numFmtId="0" fontId="3" fillId="4" borderId="15" xfId="0" applyFont="1" applyFill="1" applyBorder="1"/>
    <xf numFmtId="0" fontId="3" fillId="4" borderId="1" xfId="0" applyFont="1" applyFill="1" applyBorder="1" applyAlignment="1">
      <alignment horizontal="center"/>
    </xf>
    <xf numFmtId="0" fontId="3" fillId="4" borderId="1" xfId="0" applyFont="1" applyFill="1" applyBorder="1" applyAlignment="1">
      <alignment horizontal="center" vertical="center" wrapText="1"/>
    </xf>
    <xf numFmtId="9" fontId="3" fillId="4" borderId="1" xfId="0" applyNumberFormat="1" applyFont="1" applyFill="1" applyBorder="1" applyAlignment="1">
      <alignment horizontal="center"/>
    </xf>
    <xf numFmtId="0" fontId="3" fillId="4" borderId="1" xfId="0" applyFont="1" applyFill="1" applyBorder="1"/>
    <xf numFmtId="0" fontId="3" fillId="4" borderId="16" xfId="0" applyFont="1" applyFill="1" applyBorder="1"/>
    <xf numFmtId="0" fontId="0" fillId="4" borderId="18" xfId="0" applyFill="1" applyBorder="1"/>
    <xf numFmtId="0" fontId="2" fillId="4" borderId="17" xfId="0" applyFont="1" applyFill="1" applyBorder="1" applyAlignment="1">
      <alignment horizontal="left" vertical="center" wrapText="1"/>
    </xf>
    <xf numFmtId="0" fontId="0" fillId="4" borderId="19" xfId="0" applyFill="1" applyBorder="1"/>
    <xf numFmtId="0" fontId="0" fillId="4" borderId="2" xfId="0" applyFill="1" applyBorder="1"/>
    <xf numFmtId="0" fontId="0" fillId="4" borderId="20" xfId="0" applyFill="1" applyBorder="1"/>
    <xf numFmtId="0" fontId="24" fillId="4" borderId="0" xfId="0" applyFont="1" applyFill="1" applyBorder="1" applyAlignment="1">
      <alignment horizontal="center" vertical="center" wrapText="1"/>
    </xf>
    <xf numFmtId="0" fontId="0" fillId="4" borderId="15" xfId="0" applyFill="1" applyBorder="1"/>
    <xf numFmtId="0" fontId="0" fillId="4" borderId="1" xfId="0" applyFill="1" applyBorder="1"/>
    <xf numFmtId="0" fontId="2" fillId="4" borderId="17" xfId="0" applyFont="1" applyFill="1" applyBorder="1" applyAlignment="1">
      <alignment horizontal="left" vertical="center"/>
    </xf>
    <xf numFmtId="0" fontId="3" fillId="4" borderId="18" xfId="0" applyFont="1" applyFill="1" applyBorder="1" applyAlignment="1">
      <alignment vertical="center" wrapText="1"/>
    </xf>
    <xf numFmtId="0" fontId="3" fillId="4" borderId="17" xfId="0" applyFont="1" applyFill="1" applyBorder="1" applyAlignment="1">
      <alignment vertical="center" wrapText="1"/>
    </xf>
    <xf numFmtId="0" fontId="3" fillId="4" borderId="18" xfId="0" applyFont="1" applyFill="1" applyBorder="1" applyAlignment="1">
      <alignment vertical="center"/>
    </xf>
    <xf numFmtId="0" fontId="3" fillId="4" borderId="17" xfId="0" applyFont="1" applyFill="1" applyBorder="1" applyAlignment="1">
      <alignment vertical="center"/>
    </xf>
    <xf numFmtId="0" fontId="3" fillId="4" borderId="19" xfId="0" applyFont="1" applyFill="1" applyBorder="1" applyAlignment="1">
      <alignment vertical="center"/>
    </xf>
    <xf numFmtId="0" fontId="6" fillId="4" borderId="2" xfId="0" applyFont="1" applyFill="1" applyBorder="1" applyAlignment="1">
      <alignment horizontal="left" vertical="center" wrapText="1"/>
    </xf>
    <xf numFmtId="164" fontId="6" fillId="4" borderId="2" xfId="0" applyNumberFormat="1" applyFont="1" applyFill="1" applyBorder="1" applyAlignment="1">
      <alignment horizontal="left" vertical="center" wrapText="1"/>
    </xf>
    <xf numFmtId="0" fontId="3" fillId="4" borderId="2" xfId="0" applyFont="1" applyFill="1" applyBorder="1" applyAlignment="1">
      <alignment horizontal="left" vertical="center"/>
    </xf>
    <xf numFmtId="164" fontId="6" fillId="4" borderId="2" xfId="0" applyNumberFormat="1" applyFont="1" applyFill="1" applyBorder="1" applyAlignment="1">
      <alignment horizontal="center" vertical="center" wrapText="1"/>
    </xf>
    <xf numFmtId="0" fontId="2" fillId="4" borderId="2" xfId="0" applyFont="1" applyFill="1" applyBorder="1" applyAlignment="1">
      <alignment horizontal="left" vertical="center"/>
    </xf>
    <xf numFmtId="0" fontId="3" fillId="4" borderId="15" xfId="0" applyFont="1" applyFill="1" applyBorder="1" applyAlignment="1">
      <alignment vertical="center"/>
    </xf>
    <xf numFmtId="0" fontId="6" fillId="4" borderId="1" xfId="0" applyFont="1" applyFill="1" applyBorder="1" applyAlignment="1">
      <alignment horizontal="left" vertical="center" wrapText="1"/>
    </xf>
    <xf numFmtId="164" fontId="6" fillId="4" borderId="1" xfId="0" applyNumberFormat="1" applyFont="1" applyFill="1" applyBorder="1" applyAlignment="1">
      <alignment horizontal="left" vertical="center" wrapText="1"/>
    </xf>
    <xf numFmtId="0" fontId="3" fillId="4" borderId="1" xfId="0" applyFont="1" applyFill="1" applyBorder="1" applyAlignment="1">
      <alignment horizontal="left" vertical="center"/>
    </xf>
    <xf numFmtId="164" fontId="6" fillId="4" borderId="1" xfId="0" applyNumberFormat="1" applyFont="1" applyFill="1" applyBorder="1" applyAlignment="1">
      <alignment horizontal="center" vertical="center" wrapText="1"/>
    </xf>
    <xf numFmtId="0" fontId="2" fillId="4" borderId="1" xfId="0" applyFont="1" applyFill="1" applyBorder="1" applyAlignment="1">
      <alignment horizontal="left" vertical="center"/>
    </xf>
    <xf numFmtId="0" fontId="2" fillId="4" borderId="17" xfId="0" applyFont="1" applyFill="1" applyBorder="1"/>
    <xf numFmtId="0" fontId="8" fillId="4" borderId="17" xfId="0" applyFont="1" applyFill="1" applyBorder="1"/>
    <xf numFmtId="0" fontId="8" fillId="4" borderId="18" xfId="0" applyFont="1" applyFill="1" applyBorder="1"/>
    <xf numFmtId="0" fontId="2" fillId="4" borderId="18" xfId="0" applyFont="1" applyFill="1" applyBorder="1"/>
    <xf numFmtId="0" fontId="0" fillId="4" borderId="17" xfId="0" applyFill="1" applyBorder="1"/>
    <xf numFmtId="0" fontId="2" fillId="4" borderId="19" xfId="0" applyFont="1" applyFill="1" applyBorder="1"/>
    <xf numFmtId="0" fontId="2" fillId="4" borderId="2" xfId="0" applyFont="1" applyFill="1" applyBorder="1" applyAlignment="1">
      <alignment horizontal="left"/>
    </xf>
    <xf numFmtId="0" fontId="8" fillId="4" borderId="2" xfId="0" applyFont="1" applyFill="1" applyBorder="1" applyAlignment="1">
      <alignment horizontal="left"/>
    </xf>
    <xf numFmtId="165" fontId="8" fillId="4" borderId="2" xfId="0" applyNumberFormat="1" applyFont="1" applyFill="1" applyBorder="1" applyAlignment="1">
      <alignment horizontal="left"/>
    </xf>
    <xf numFmtId="164" fontId="8" fillId="4" borderId="2" xfId="0" applyNumberFormat="1" applyFont="1" applyFill="1" applyBorder="1" applyAlignment="1">
      <alignment horizontal="left"/>
    </xf>
    <xf numFmtId="0" fontId="0" fillId="4" borderId="2" xfId="0" applyFill="1" applyBorder="1" applyAlignment="1">
      <alignment horizontal="left"/>
    </xf>
    <xf numFmtId="0" fontId="6" fillId="4" borderId="20" xfId="0" applyFont="1" applyFill="1" applyBorder="1" applyAlignment="1">
      <alignment vertical="center" wrapText="1"/>
    </xf>
    <xf numFmtId="0" fontId="0" fillId="4" borderId="16" xfId="0" applyFill="1" applyBorder="1"/>
    <xf numFmtId="0" fontId="12" fillId="4" borderId="17" xfId="0" applyFont="1" applyFill="1" applyBorder="1"/>
    <xf numFmtId="0" fontId="13" fillId="4" borderId="18" xfId="0" applyFont="1" applyFill="1" applyBorder="1" applyAlignment="1">
      <alignment horizontal="center" vertical="center" wrapText="1"/>
    </xf>
    <xf numFmtId="6" fontId="2" fillId="4" borderId="18" xfId="0" applyNumberFormat="1" applyFont="1" applyFill="1" applyBorder="1" applyAlignment="1">
      <alignment horizontal="center" vertical="center"/>
    </xf>
    <xf numFmtId="0" fontId="3" fillId="4" borderId="15" xfId="0" applyFont="1" applyFill="1" applyBorder="1" applyAlignment="1">
      <alignment horizontal="left"/>
    </xf>
    <xf numFmtId="0" fontId="3" fillId="4" borderId="1" xfId="0" applyFont="1" applyFill="1" applyBorder="1" applyAlignment="1">
      <alignment horizontal="left"/>
    </xf>
    <xf numFmtId="0" fontId="6" fillId="6" borderId="17" xfId="0" applyFont="1" applyFill="1" applyBorder="1" applyAlignment="1">
      <alignment horizontal="left"/>
    </xf>
    <xf numFmtId="0" fontId="6" fillId="6" borderId="0" xfId="0" applyFont="1" applyFill="1" applyBorder="1" applyAlignment="1">
      <alignment horizontal="left"/>
    </xf>
    <xf numFmtId="0" fontId="6" fillId="6" borderId="0" xfId="0" applyFont="1" applyFill="1" applyBorder="1" applyAlignment="1">
      <alignment horizontal="center"/>
    </xf>
    <xf numFmtId="0" fontId="22" fillId="6" borderId="0" xfId="0" applyFont="1" applyFill="1" applyBorder="1"/>
    <xf numFmtId="0" fontId="22" fillId="6" borderId="18" xfId="0" applyFont="1" applyFill="1" applyBorder="1"/>
    <xf numFmtId="0" fontId="15" fillId="6" borderId="17" xfId="0" applyFont="1" applyFill="1" applyBorder="1" applyAlignment="1">
      <alignment horizontal="right" vertical="center"/>
    </xf>
    <xf numFmtId="166" fontId="15" fillId="6" borderId="0" xfId="0" applyNumberFormat="1" applyFont="1" applyFill="1" applyBorder="1" applyAlignment="1">
      <alignment horizontal="center" vertical="center"/>
    </xf>
    <xf numFmtId="166" fontId="15" fillId="6" borderId="18" xfId="0" applyNumberFormat="1" applyFont="1" applyFill="1" applyBorder="1" applyAlignment="1">
      <alignment horizontal="center" vertical="center"/>
    </xf>
    <xf numFmtId="6" fontId="3" fillId="4" borderId="0" xfId="0" applyNumberFormat="1" applyFont="1" applyFill="1" applyBorder="1" applyAlignment="1">
      <alignment horizontal="center"/>
    </xf>
    <xf numFmtId="6" fontId="3" fillId="4" borderId="18" xfId="0" applyNumberFormat="1" applyFont="1" applyFill="1" applyBorder="1" applyAlignment="1">
      <alignment horizontal="center"/>
    </xf>
    <xf numFmtId="6" fontId="3" fillId="4" borderId="2" xfId="0" applyNumberFormat="1" applyFont="1" applyFill="1" applyBorder="1" applyAlignment="1">
      <alignment horizontal="center"/>
    </xf>
    <xf numFmtId="6" fontId="3" fillId="4" borderId="20" xfId="0" applyNumberFormat="1" applyFont="1" applyFill="1" applyBorder="1" applyAlignment="1">
      <alignment horizontal="center"/>
    </xf>
    <xf numFmtId="0" fontId="15" fillId="6" borderId="17" xfId="0" applyFont="1" applyFill="1" applyBorder="1" applyAlignment="1">
      <alignment horizontal="center" vertical="center"/>
    </xf>
    <xf numFmtId="0" fontId="3" fillId="4" borderId="17" xfId="0" applyFont="1" applyFill="1" applyBorder="1" applyAlignment="1">
      <alignment horizontal="left"/>
    </xf>
    <xf numFmtId="0" fontId="13" fillId="4" borderId="17" xfId="0" applyFont="1" applyFill="1" applyBorder="1" applyAlignment="1">
      <alignment horizontal="right" vertical="center"/>
    </xf>
    <xf numFmtId="166" fontId="13" fillId="4" borderId="18"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3" fillId="4" borderId="17"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xf>
    <xf numFmtId="0" fontId="0" fillId="3" borderId="0" xfId="0" applyFill="1" applyProtection="1"/>
    <xf numFmtId="0" fontId="21" fillId="3" borderId="0" xfId="0" quotePrefix="1" applyFont="1" applyFill="1" applyAlignment="1" applyProtection="1">
      <alignment horizontal="left" vertical="center"/>
    </xf>
    <xf numFmtId="0" fontId="16" fillId="3" borderId="0" xfId="0" quotePrefix="1" applyFont="1" applyFill="1" applyAlignment="1" applyProtection="1">
      <alignment horizontal="left" vertical="center"/>
    </xf>
    <xf numFmtId="0" fontId="18" fillId="3" borderId="0" xfId="0" applyFont="1" applyFill="1" applyAlignment="1" applyProtection="1">
      <alignment vertical="center"/>
    </xf>
    <xf numFmtId="0" fontId="3" fillId="3" borderId="0" xfId="0" applyFont="1" applyFill="1" applyAlignment="1" applyProtection="1">
      <alignment horizontal="center" vertical="center"/>
    </xf>
    <xf numFmtId="0" fontId="2" fillId="3" borderId="0" xfId="0" applyFont="1" applyFill="1" applyAlignment="1" applyProtection="1">
      <alignment horizontal="center" vertical="center"/>
    </xf>
    <xf numFmtId="0" fontId="0" fillId="3" borderId="0" xfId="0" applyFont="1" applyFill="1" applyAlignment="1" applyProtection="1">
      <alignment horizontal="center" vertical="center"/>
    </xf>
    <xf numFmtId="0" fontId="3" fillId="3" borderId="0" xfId="0" applyFont="1" applyFill="1" applyProtection="1"/>
    <xf numFmtId="0" fontId="3" fillId="4" borderId="4" xfId="0" applyFont="1" applyFill="1" applyBorder="1" applyProtection="1"/>
    <xf numFmtId="0" fontId="3" fillId="4" borderId="5" xfId="0" applyFont="1" applyFill="1" applyBorder="1" applyProtection="1"/>
    <xf numFmtId="0" fontId="3" fillId="4" borderId="6" xfId="0" applyFont="1" applyFill="1" applyBorder="1" applyProtection="1"/>
    <xf numFmtId="0" fontId="3" fillId="4" borderId="7" xfId="0" applyFont="1" applyFill="1" applyBorder="1" applyProtection="1"/>
    <xf numFmtId="0" fontId="3" fillId="4" borderId="8" xfId="0" applyFont="1" applyFill="1" applyBorder="1" applyProtection="1"/>
    <xf numFmtId="0" fontId="20" fillId="4" borderId="0" xfId="0" applyFont="1" applyFill="1" applyBorder="1" applyProtection="1"/>
    <xf numFmtId="0" fontId="20" fillId="4" borderId="0" xfId="0" applyFont="1" applyFill="1" applyBorder="1" applyAlignment="1" applyProtection="1">
      <alignment horizontal="center"/>
    </xf>
    <xf numFmtId="0" fontId="3" fillId="4" borderId="0" xfId="0" applyFont="1" applyFill="1" applyBorder="1" applyProtection="1"/>
    <xf numFmtId="0" fontId="3" fillId="4" borderId="9" xfId="0" applyFont="1" applyFill="1" applyBorder="1" applyProtection="1"/>
    <xf numFmtId="0" fontId="3" fillId="4" borderId="10" xfId="0" applyFont="1" applyFill="1" applyBorder="1" applyProtection="1"/>
    <xf numFmtId="0" fontId="3" fillId="4" borderId="11" xfId="0" applyFont="1" applyFill="1" applyBorder="1" applyProtection="1"/>
    <xf numFmtId="0" fontId="18" fillId="3" borderId="0" xfId="0" applyFont="1" applyFill="1" applyAlignment="1" applyProtection="1">
      <alignment horizontal="left"/>
    </xf>
    <xf numFmtId="0" fontId="18" fillId="3" borderId="0" xfId="0" applyFont="1" applyFill="1" applyAlignment="1" applyProtection="1">
      <alignment horizontal="center"/>
    </xf>
    <xf numFmtId="49" fontId="18" fillId="3" borderId="0" xfId="0" applyNumberFormat="1" applyFont="1" applyFill="1" applyAlignment="1" applyProtection="1">
      <alignment horizontal="left"/>
    </xf>
    <xf numFmtId="0" fontId="20" fillId="2" borderId="3" xfId="0" applyFont="1" applyFill="1" applyBorder="1" applyAlignment="1" applyProtection="1">
      <alignment horizontal="center"/>
      <protection locked="0"/>
    </xf>
    <xf numFmtId="49" fontId="20" fillId="2" borderId="3" xfId="0" applyNumberFormat="1" applyFont="1" applyFill="1" applyBorder="1" applyAlignment="1" applyProtection="1">
      <alignment horizontal="center"/>
      <protection locked="0"/>
    </xf>
    <xf numFmtId="0" fontId="18" fillId="3" borderId="0" xfId="0" applyFont="1" applyFill="1" applyBorder="1" applyAlignment="1">
      <alignment horizontal="left"/>
    </xf>
    <xf numFmtId="0" fontId="18" fillId="3" borderId="0" xfId="0" applyFont="1" applyFill="1" applyBorder="1" applyAlignment="1">
      <alignment horizontal="left" vertical="center"/>
    </xf>
    <xf numFmtId="0" fontId="17" fillId="3" borderId="0" xfId="0" applyFont="1" applyFill="1" applyBorder="1"/>
    <xf numFmtId="0" fontId="18" fillId="3" borderId="0" xfId="0" applyFont="1" applyFill="1" applyBorder="1" applyAlignment="1">
      <alignment horizontal="center" vertical="center"/>
    </xf>
    <xf numFmtId="2" fontId="18" fillId="3" borderId="0" xfId="0" applyNumberFormat="1" applyFont="1" applyFill="1" applyBorder="1" applyAlignment="1">
      <alignment horizontal="center" vertical="center"/>
    </xf>
    <xf numFmtId="164" fontId="3" fillId="2" borderId="3" xfId="0" applyNumberFormat="1" applyFont="1" applyFill="1" applyBorder="1" applyAlignment="1" applyProtection="1">
      <alignment horizontal="center" vertical="center" wrapText="1"/>
      <protection locked="0"/>
    </xf>
    <xf numFmtId="166" fontId="3" fillId="2" borderId="3" xfId="0" applyNumberFormat="1" applyFont="1" applyFill="1" applyBorder="1" applyAlignment="1" applyProtection="1">
      <alignment horizontal="center" vertical="center" wrapText="1"/>
      <protection locked="0"/>
    </xf>
    <xf numFmtId="164" fontId="3" fillId="2" borderId="3" xfId="0" applyNumberFormat="1" applyFont="1" applyFill="1" applyBorder="1" applyAlignment="1" applyProtection="1">
      <alignment horizontal="center" vertical="center"/>
      <protection locked="0"/>
    </xf>
    <xf numFmtId="164" fontId="6" fillId="2" borderId="3" xfId="0" applyNumberFormat="1"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protection locked="0"/>
    </xf>
    <xf numFmtId="1" fontId="6" fillId="2" borderId="3" xfId="0" applyNumberFormat="1" applyFont="1" applyFill="1" applyBorder="1" applyAlignment="1" applyProtection="1">
      <alignment horizontal="center" wrapText="1"/>
      <protection locked="0"/>
    </xf>
    <xf numFmtId="166" fontId="6" fillId="2" borderId="3" xfId="435" applyNumberFormat="1" applyFont="1" applyFill="1" applyBorder="1" applyAlignment="1" applyProtection="1">
      <alignment horizontal="center" wrapText="1"/>
      <protection locked="0"/>
    </xf>
    <xf numFmtId="0" fontId="23" fillId="3" borderId="0" xfId="0" quotePrefix="1" applyFont="1" applyFill="1" applyAlignment="1" applyProtection="1">
      <alignment horizontal="left" vertical="center"/>
    </xf>
    <xf numFmtId="0" fontId="3" fillId="4" borderId="21" xfId="0" applyFont="1" applyFill="1" applyBorder="1" applyAlignment="1" applyProtection="1">
      <alignment horizontal="center" vertical="center"/>
    </xf>
    <xf numFmtId="0" fontId="2" fillId="4" borderId="22" xfId="0" applyFont="1" applyFill="1" applyBorder="1" applyAlignment="1" applyProtection="1">
      <alignment horizontal="center" vertical="center"/>
    </xf>
    <xf numFmtId="0" fontId="18" fillId="3" borderId="10" xfId="0" applyFont="1" applyFill="1" applyBorder="1" applyProtection="1"/>
    <xf numFmtId="0" fontId="0" fillId="3" borderId="0" xfId="0" applyFill="1" applyBorder="1" applyProtection="1"/>
    <xf numFmtId="0" fontId="0" fillId="4" borderId="15" xfId="0" applyFill="1" applyBorder="1" applyProtection="1"/>
    <xf numFmtId="0" fontId="0" fillId="4" borderId="1" xfId="0" applyFill="1" applyBorder="1" applyProtection="1"/>
    <xf numFmtId="0" fontId="0" fillId="4" borderId="16" xfId="0" applyFill="1" applyBorder="1" applyProtection="1"/>
    <xf numFmtId="0" fontId="2" fillId="4" borderId="17" xfId="0" applyFont="1" applyFill="1" applyBorder="1" applyAlignment="1" applyProtection="1">
      <alignment horizontal="left" vertical="center"/>
    </xf>
    <xf numFmtId="0" fontId="13" fillId="4"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wrapText="1"/>
    </xf>
    <xf numFmtId="0" fontId="3" fillId="4" borderId="18" xfId="0" applyFont="1" applyFill="1" applyBorder="1" applyProtection="1"/>
    <xf numFmtId="0" fontId="3" fillId="3" borderId="0" xfId="0" applyFont="1" applyFill="1" applyBorder="1" applyProtection="1"/>
    <xf numFmtId="0" fontId="3" fillId="4" borderId="17" xfId="0" applyFont="1" applyFill="1" applyBorder="1" applyProtection="1"/>
    <xf numFmtId="0" fontId="3" fillId="4" borderId="0" xfId="0" applyFont="1" applyFill="1" applyBorder="1" applyAlignment="1" applyProtection="1">
      <alignment horizontal="center" vertical="center"/>
    </xf>
    <xf numFmtId="0" fontId="3" fillId="4" borderId="0" xfId="0" applyFont="1" applyFill="1" applyBorder="1" applyAlignment="1" applyProtection="1">
      <alignment horizontal="center"/>
    </xf>
    <xf numFmtId="9" fontId="3" fillId="4" borderId="0" xfId="0" applyNumberFormat="1" applyFont="1" applyFill="1" applyBorder="1" applyAlignment="1" applyProtection="1">
      <alignment horizontal="center"/>
    </xf>
    <xf numFmtId="0" fontId="3" fillId="4" borderId="19" xfId="0" applyFont="1" applyFill="1" applyBorder="1" applyProtection="1"/>
    <xf numFmtId="0" fontId="3" fillId="4" borderId="2" xfId="0" applyFont="1" applyFill="1" applyBorder="1" applyAlignment="1" applyProtection="1">
      <alignment horizontal="center"/>
    </xf>
    <xf numFmtId="9" fontId="3" fillId="4" borderId="2" xfId="0" applyNumberFormat="1" applyFont="1" applyFill="1" applyBorder="1" applyAlignment="1" applyProtection="1">
      <alignment horizontal="center"/>
    </xf>
    <xf numFmtId="0" fontId="3" fillId="4" borderId="2" xfId="0" applyFont="1" applyFill="1" applyBorder="1" applyProtection="1"/>
    <xf numFmtId="0" fontId="3" fillId="4" borderId="20" xfId="0" applyFont="1" applyFill="1" applyBorder="1" applyProtection="1"/>
    <xf numFmtId="0" fontId="3" fillId="3" borderId="0" xfId="0" applyFont="1" applyFill="1" applyBorder="1" applyAlignment="1" applyProtection="1">
      <alignment horizontal="center"/>
    </xf>
    <xf numFmtId="9" fontId="3" fillId="3" borderId="0" xfId="0" applyNumberFormat="1" applyFont="1" applyFill="1" applyBorder="1" applyAlignment="1" applyProtection="1">
      <alignment horizontal="center"/>
    </xf>
    <xf numFmtId="0" fontId="3" fillId="4" borderId="15" xfId="0" applyFont="1" applyFill="1" applyBorder="1" applyProtection="1"/>
    <xf numFmtId="0" fontId="3" fillId="4" borderId="1" xfId="0" applyFont="1" applyFill="1" applyBorder="1" applyAlignment="1" applyProtection="1">
      <alignment horizontal="center"/>
    </xf>
    <xf numFmtId="9" fontId="3" fillId="4" borderId="1" xfId="0" applyNumberFormat="1" applyFont="1" applyFill="1" applyBorder="1" applyAlignment="1" applyProtection="1">
      <alignment horizontal="center"/>
    </xf>
    <xf numFmtId="0" fontId="3" fillId="4" borderId="1" xfId="0" applyFont="1" applyFill="1" applyBorder="1" applyProtection="1"/>
    <xf numFmtId="0" fontId="3" fillId="4" borderId="16" xfId="0" applyFont="1" applyFill="1" applyBorder="1" applyProtection="1"/>
    <xf numFmtId="0" fontId="3" fillId="4" borderId="17" xfId="0" applyFont="1" applyFill="1" applyBorder="1" applyAlignment="1" applyProtection="1">
      <alignment wrapText="1"/>
    </xf>
    <xf numFmtId="0" fontId="3" fillId="4" borderId="0" xfId="0" applyFont="1" applyFill="1" applyBorder="1" applyAlignment="1" applyProtection="1">
      <alignment horizontal="center" wrapText="1"/>
    </xf>
    <xf numFmtId="9" fontId="3" fillId="4" borderId="0" xfId="0" applyNumberFormat="1" applyFont="1" applyFill="1" applyBorder="1" applyAlignment="1" applyProtection="1">
      <alignment horizontal="center" wrapText="1"/>
    </xf>
    <xf numFmtId="0" fontId="3" fillId="4" borderId="0" xfId="0" applyFont="1" applyFill="1" applyBorder="1" applyAlignment="1" applyProtection="1">
      <alignment wrapText="1"/>
    </xf>
    <xf numFmtId="0" fontId="3" fillId="4" borderId="18" xfId="0" applyFont="1" applyFill="1" applyBorder="1" applyAlignment="1" applyProtection="1">
      <alignment wrapText="1"/>
    </xf>
    <xf numFmtId="0" fontId="3" fillId="4" borderId="0" xfId="0" applyFont="1" applyFill="1" applyBorder="1" applyAlignment="1" applyProtection="1">
      <alignment horizontal="center" vertical="center" wrapText="1"/>
    </xf>
    <xf numFmtId="0" fontId="3" fillId="4" borderId="0" xfId="0" applyFont="1" applyFill="1" applyBorder="1" applyAlignment="1" applyProtection="1">
      <alignment horizontal="left"/>
    </xf>
    <xf numFmtId="164" fontId="3" fillId="4" borderId="0" xfId="0" applyNumberFormat="1" applyFont="1" applyFill="1" applyBorder="1" applyAlignment="1" applyProtection="1">
      <alignment horizontal="center"/>
    </xf>
    <xf numFmtId="164" fontId="3" fillId="4" borderId="18" xfId="0" applyNumberFormat="1" applyFont="1" applyFill="1" applyBorder="1" applyAlignment="1" applyProtection="1">
      <alignment horizontal="center"/>
    </xf>
    <xf numFmtId="0" fontId="13" fillId="4" borderId="17" xfId="0" applyFont="1" applyFill="1" applyBorder="1" applyAlignment="1" applyProtection="1">
      <alignment horizontal="center" vertical="center" wrapText="1"/>
    </xf>
    <xf numFmtId="164" fontId="13" fillId="4" borderId="0" xfId="0" applyNumberFormat="1" applyFont="1" applyFill="1" applyBorder="1" applyAlignment="1" applyProtection="1">
      <alignment horizontal="center" vertical="center" wrapText="1"/>
    </xf>
    <xf numFmtId="164" fontId="13" fillId="4" borderId="18" xfId="0" applyNumberFormat="1" applyFont="1" applyFill="1" applyBorder="1" applyAlignment="1" applyProtection="1">
      <alignment horizontal="center" vertical="center" wrapText="1"/>
    </xf>
    <xf numFmtId="0" fontId="3" fillId="4" borderId="17" xfId="0" applyFont="1" applyFill="1" applyBorder="1" applyAlignment="1" applyProtection="1">
      <alignment vertical="center" wrapText="1"/>
    </xf>
    <xf numFmtId="0" fontId="3" fillId="4" borderId="0" xfId="0" applyFont="1" applyFill="1" applyBorder="1" applyAlignment="1" applyProtection="1">
      <alignment vertical="center" wrapText="1"/>
    </xf>
    <xf numFmtId="0" fontId="3" fillId="4" borderId="0" xfId="0" applyFont="1" applyFill="1" applyBorder="1" applyAlignment="1" applyProtection="1">
      <alignment horizontal="left" vertical="center" wrapText="1"/>
    </xf>
    <xf numFmtId="164" fontId="3" fillId="4" borderId="0" xfId="0" applyNumberFormat="1"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166" fontId="6" fillId="4" borderId="0" xfId="0" applyNumberFormat="1" applyFont="1" applyFill="1" applyBorder="1" applyAlignment="1" applyProtection="1">
      <alignment horizontal="center" vertical="center" wrapText="1"/>
    </xf>
    <xf numFmtId="1" fontId="3" fillId="4" borderId="0" xfId="0" applyNumberFormat="1" applyFont="1" applyFill="1" applyBorder="1" applyAlignment="1" applyProtection="1">
      <alignment horizontal="center" vertical="center"/>
    </xf>
    <xf numFmtId="166" fontId="3" fillId="4" borderId="0" xfId="0" applyNumberFormat="1" applyFont="1" applyFill="1" applyBorder="1" applyAlignment="1" applyProtection="1">
      <alignment horizontal="center" vertical="center"/>
    </xf>
    <xf numFmtId="166" fontId="3" fillId="4" borderId="18" xfId="0" applyNumberFormat="1" applyFont="1" applyFill="1" applyBorder="1" applyAlignment="1" applyProtection="1">
      <alignment horizontal="center" vertical="center"/>
    </xf>
    <xf numFmtId="0" fontId="8" fillId="4" borderId="0" xfId="0" applyFont="1" applyFill="1" applyBorder="1" applyAlignment="1" applyProtection="1">
      <alignment vertical="center" wrapText="1"/>
    </xf>
    <xf numFmtId="166" fontId="3" fillId="4" borderId="0" xfId="0" applyNumberFormat="1" applyFont="1" applyFill="1" applyBorder="1" applyAlignment="1" applyProtection="1">
      <alignment horizontal="center" vertical="center" wrapText="1"/>
    </xf>
    <xf numFmtId="3" fontId="3" fillId="4" borderId="0" xfId="0" applyNumberFormat="1" applyFont="1" applyFill="1" applyBorder="1" applyAlignment="1" applyProtection="1">
      <alignment horizontal="left" vertical="center" wrapText="1"/>
    </xf>
    <xf numFmtId="0" fontId="6"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left" vertical="center" wrapText="1"/>
    </xf>
    <xf numFmtId="0" fontId="8" fillId="4" borderId="17" xfId="0" applyFont="1" applyFill="1" applyBorder="1" applyAlignment="1" applyProtection="1">
      <alignment vertical="center" wrapText="1"/>
    </xf>
    <xf numFmtId="166" fontId="8" fillId="4" borderId="0" xfId="0" applyNumberFormat="1" applyFont="1" applyFill="1" applyBorder="1" applyAlignment="1" applyProtection="1">
      <alignment horizontal="center" vertical="center" wrapText="1"/>
    </xf>
    <xf numFmtId="1" fontId="8" fillId="4" borderId="0" xfId="0" applyNumberFormat="1" applyFont="1" applyFill="1" applyBorder="1" applyAlignment="1" applyProtection="1">
      <alignment horizontal="center" vertical="center"/>
    </xf>
    <xf numFmtId="166" fontId="8" fillId="4" borderId="0" xfId="0" applyNumberFormat="1" applyFont="1" applyFill="1" applyBorder="1" applyAlignment="1" applyProtection="1">
      <alignment horizontal="center" vertical="center"/>
    </xf>
    <xf numFmtId="166" fontId="8" fillId="4" borderId="18" xfId="0" applyNumberFormat="1" applyFont="1" applyFill="1" applyBorder="1" applyAlignment="1" applyProtection="1">
      <alignment horizontal="center" vertical="center"/>
    </xf>
    <xf numFmtId="0" fontId="6" fillId="4" borderId="0" xfId="0" applyFont="1" applyFill="1" applyBorder="1" applyAlignment="1" applyProtection="1">
      <alignment horizontal="left" vertical="center"/>
    </xf>
    <xf numFmtId="6" fontId="6" fillId="4" borderId="0" xfId="0" applyNumberFormat="1" applyFont="1" applyFill="1" applyBorder="1" applyAlignment="1" applyProtection="1">
      <alignment horizontal="center" vertical="center" wrapText="1"/>
    </xf>
    <xf numFmtId="164" fontId="6" fillId="4" borderId="0" xfId="0" applyNumberFormat="1" applyFont="1" applyFill="1" applyBorder="1" applyAlignment="1" applyProtection="1">
      <alignment horizontal="center" vertical="center" wrapText="1"/>
    </xf>
    <xf numFmtId="0" fontId="2" fillId="4" borderId="17" xfId="0" applyFont="1" applyFill="1" applyBorder="1" applyAlignment="1" applyProtection="1">
      <alignment vertical="center" wrapText="1"/>
    </xf>
    <xf numFmtId="0" fontId="2" fillId="4" borderId="0" xfId="0" applyFont="1" applyFill="1" applyBorder="1" applyAlignment="1" applyProtection="1">
      <alignment vertical="center" wrapText="1"/>
    </xf>
    <xf numFmtId="0" fontId="11" fillId="4" borderId="0" xfId="0" applyFont="1" applyFill="1" applyBorder="1" applyAlignment="1" applyProtection="1">
      <alignment horizontal="center" vertical="center" wrapText="1"/>
    </xf>
    <xf numFmtId="6" fontId="2" fillId="4" borderId="0" xfId="0" applyNumberFormat="1" applyFont="1" applyFill="1" applyBorder="1" applyAlignment="1" applyProtection="1">
      <alignment horizontal="center" vertical="center" wrapText="1"/>
    </xf>
    <xf numFmtId="0" fontId="2" fillId="4" borderId="0" xfId="0" applyFont="1" applyFill="1" applyBorder="1" applyAlignment="1" applyProtection="1">
      <alignment horizontal="left" vertical="center" wrapText="1"/>
    </xf>
    <xf numFmtId="164" fontId="2" fillId="4" borderId="0" xfId="0" applyNumberFormat="1" applyFont="1" applyFill="1" applyBorder="1" applyAlignment="1" applyProtection="1">
      <alignment horizontal="center" vertical="center" wrapText="1"/>
    </xf>
    <xf numFmtId="164" fontId="2" fillId="4" borderId="18" xfId="0" applyNumberFormat="1" applyFont="1" applyFill="1" applyBorder="1" applyAlignment="1" applyProtection="1">
      <alignment horizontal="center" vertical="center" wrapText="1"/>
    </xf>
    <xf numFmtId="0" fontId="2" fillId="4" borderId="19" xfId="0" applyFont="1" applyFill="1" applyBorder="1" applyAlignment="1" applyProtection="1">
      <alignment vertical="center" wrapText="1"/>
    </xf>
    <xf numFmtId="0" fontId="2" fillId="4" borderId="2" xfId="0" applyFont="1" applyFill="1" applyBorder="1" applyAlignment="1" applyProtection="1">
      <alignment vertical="center" wrapText="1"/>
    </xf>
    <xf numFmtId="0" fontId="11" fillId="4" borderId="2" xfId="0" applyFont="1" applyFill="1" applyBorder="1" applyAlignment="1" applyProtection="1">
      <alignment horizontal="center" vertical="center" wrapText="1"/>
    </xf>
    <xf numFmtId="6" fontId="2" fillId="4" borderId="2" xfId="0" applyNumberFormat="1" applyFont="1" applyFill="1" applyBorder="1" applyAlignment="1" applyProtection="1">
      <alignment horizontal="center" vertical="center" wrapText="1"/>
    </xf>
    <xf numFmtId="0" fontId="2" fillId="4" borderId="2" xfId="0" applyFont="1" applyFill="1" applyBorder="1" applyAlignment="1" applyProtection="1">
      <alignment horizontal="left" vertical="center" wrapText="1"/>
    </xf>
    <xf numFmtId="164" fontId="2" fillId="4" borderId="2" xfId="0" applyNumberFormat="1" applyFont="1" applyFill="1" applyBorder="1" applyAlignment="1" applyProtection="1">
      <alignment horizontal="center" vertical="center" wrapText="1"/>
    </xf>
    <xf numFmtId="164" fontId="2" fillId="4" borderId="20" xfId="0" applyNumberFormat="1" applyFont="1" applyFill="1" applyBorder="1" applyAlignment="1" applyProtection="1">
      <alignment horizontal="center" vertical="center" wrapText="1"/>
    </xf>
    <xf numFmtId="0" fontId="2" fillId="3" borderId="0" xfId="0" applyFont="1" applyFill="1" applyBorder="1" applyAlignment="1" applyProtection="1">
      <alignment vertical="center" wrapText="1"/>
    </xf>
    <xf numFmtId="0" fontId="11" fillId="3" borderId="0" xfId="0" applyFont="1" applyFill="1" applyBorder="1" applyAlignment="1" applyProtection="1">
      <alignment horizontal="center" vertical="center" wrapText="1"/>
    </xf>
    <xf numFmtId="6" fontId="2" fillId="3" borderId="0"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left" vertical="center" wrapText="1"/>
    </xf>
    <xf numFmtId="164" fontId="2" fillId="3" borderId="0" xfId="0" applyNumberFormat="1" applyFont="1" applyFill="1" applyBorder="1" applyAlignment="1" applyProtection="1">
      <alignment horizontal="center" vertical="center" wrapText="1"/>
    </xf>
    <xf numFmtId="0" fontId="2" fillId="4" borderId="1" xfId="0" applyFont="1" applyFill="1" applyBorder="1" applyAlignment="1" applyProtection="1">
      <alignment vertical="center" wrapText="1"/>
    </xf>
    <xf numFmtId="0" fontId="13" fillId="4" borderId="1" xfId="0" applyFont="1" applyFill="1" applyBorder="1" applyAlignment="1" applyProtection="1">
      <alignment horizontal="center" vertical="center" wrapText="1"/>
    </xf>
    <xf numFmtId="164" fontId="13" fillId="4" borderId="1" xfId="0" applyNumberFormat="1" applyFont="1" applyFill="1" applyBorder="1" applyAlignment="1" applyProtection="1">
      <alignment horizontal="center" vertical="center" wrapText="1"/>
    </xf>
    <xf numFmtId="164" fontId="2" fillId="4" borderId="1" xfId="0" applyNumberFormat="1" applyFont="1" applyFill="1" applyBorder="1" applyAlignment="1" applyProtection="1">
      <alignment horizontal="center" vertical="center" wrapText="1"/>
    </xf>
    <xf numFmtId="164" fontId="2" fillId="4" borderId="16" xfId="0" applyNumberFormat="1" applyFont="1" applyFill="1" applyBorder="1" applyAlignment="1" applyProtection="1">
      <alignment horizontal="center" vertical="center" wrapText="1"/>
    </xf>
    <xf numFmtId="0" fontId="9" fillId="4" borderId="17" xfId="0" applyFont="1" applyFill="1" applyBorder="1" applyAlignment="1" applyProtection="1">
      <alignment horizontal="left" vertical="center" wrapText="1"/>
    </xf>
    <xf numFmtId="0" fontId="0" fillId="4" borderId="17" xfId="0" applyFill="1" applyBorder="1" applyProtection="1"/>
    <xf numFmtId="0" fontId="8" fillId="4" borderId="0" xfId="0" applyFont="1" applyFill="1" applyBorder="1" applyAlignment="1" applyProtection="1">
      <alignment horizontal="center" vertical="center" wrapText="1"/>
    </xf>
    <xf numFmtId="164" fontId="8" fillId="4" borderId="0" xfId="0" applyNumberFormat="1" applyFont="1" applyFill="1" applyBorder="1" applyAlignment="1" applyProtection="1">
      <alignment horizontal="center" vertical="center" wrapText="1"/>
    </xf>
    <xf numFmtId="0" fontId="8" fillId="4" borderId="0" xfId="0" applyFont="1" applyFill="1" applyBorder="1" applyAlignment="1" applyProtection="1">
      <alignment horizontal="center" vertical="center"/>
    </xf>
    <xf numFmtId="0" fontId="8" fillId="4" borderId="19"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6" fontId="8" fillId="4" borderId="2" xfId="0" applyNumberFormat="1" applyFont="1" applyFill="1" applyBorder="1" applyAlignment="1" applyProtection="1">
      <alignment horizontal="center" vertical="center" wrapText="1"/>
    </xf>
    <xf numFmtId="164" fontId="8" fillId="4" borderId="2" xfId="0" applyNumberFormat="1" applyFont="1" applyFill="1" applyBorder="1" applyAlignment="1" applyProtection="1">
      <alignment horizontal="center" vertical="center" wrapText="1"/>
    </xf>
    <xf numFmtId="0" fontId="8" fillId="4" borderId="2" xfId="0" applyFont="1" applyFill="1" applyBorder="1" applyAlignment="1" applyProtection="1">
      <alignment horizontal="center" vertical="center"/>
    </xf>
    <xf numFmtId="166" fontId="8" fillId="4" borderId="2" xfId="0" applyNumberFormat="1" applyFont="1" applyFill="1" applyBorder="1" applyAlignment="1" applyProtection="1">
      <alignment horizontal="center" vertical="center"/>
    </xf>
    <xf numFmtId="166" fontId="8" fillId="4" borderId="20" xfId="0" applyNumberFormat="1"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6" fontId="17" fillId="3" borderId="0" xfId="0" applyNumberFormat="1" applyFont="1" applyFill="1" applyBorder="1" applyAlignment="1" applyProtection="1">
      <alignment horizontal="center" vertical="center" wrapText="1"/>
    </xf>
    <xf numFmtId="164" fontId="17" fillId="3" borderId="0" xfId="0" applyNumberFormat="1"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xf>
    <xf numFmtId="166" fontId="17" fillId="3" borderId="0" xfId="0" applyNumberFormat="1" applyFont="1" applyFill="1" applyBorder="1" applyAlignment="1" applyProtection="1">
      <alignment horizontal="center" vertical="center"/>
    </xf>
    <xf numFmtId="0" fontId="8" fillId="4" borderId="15"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6" fontId="8" fillId="4" borderId="1" xfId="0" applyNumberFormat="1" applyFont="1" applyFill="1" applyBorder="1" applyAlignment="1" applyProtection="1">
      <alignment horizontal="center" vertical="center" wrapText="1"/>
    </xf>
    <xf numFmtId="164" fontId="8" fillId="4" borderId="1" xfId="0" applyNumberFormat="1" applyFont="1" applyFill="1" applyBorder="1" applyAlignment="1" applyProtection="1">
      <alignment horizontal="center" vertical="center" wrapText="1"/>
    </xf>
    <xf numFmtId="0" fontId="8" fillId="4" borderId="1" xfId="0" applyFont="1" applyFill="1" applyBorder="1" applyAlignment="1" applyProtection="1">
      <alignment horizontal="center" vertical="center"/>
    </xf>
    <xf numFmtId="166" fontId="8" fillId="4" borderId="1" xfId="0" applyNumberFormat="1" applyFont="1" applyFill="1" applyBorder="1" applyAlignment="1" applyProtection="1">
      <alignment horizontal="center" vertical="center"/>
    </xf>
    <xf numFmtId="166" fontId="8" fillId="4" borderId="16" xfId="0" applyNumberFormat="1" applyFont="1" applyFill="1" applyBorder="1" applyAlignment="1" applyProtection="1">
      <alignment horizontal="center" vertical="center"/>
    </xf>
    <xf numFmtId="164" fontId="8" fillId="4" borderId="18" xfId="0" applyNumberFormat="1" applyFont="1" applyFill="1" applyBorder="1" applyAlignment="1" applyProtection="1">
      <alignment horizontal="center" vertical="center"/>
    </xf>
    <xf numFmtId="0" fontId="0" fillId="4" borderId="19" xfId="0" applyFill="1" applyBorder="1" applyProtection="1"/>
    <xf numFmtId="0" fontId="0" fillId="4" borderId="2" xfId="0" applyFill="1" applyBorder="1" applyProtection="1"/>
    <xf numFmtId="0" fontId="0" fillId="4" borderId="20" xfId="0" applyFill="1" applyBorder="1" applyProtection="1"/>
    <xf numFmtId="0" fontId="0" fillId="4" borderId="18" xfId="0" applyFill="1" applyBorder="1" applyProtection="1"/>
    <xf numFmtId="0" fontId="15" fillId="4" borderId="0" xfId="0" applyFont="1" applyFill="1" applyBorder="1" applyAlignment="1" applyProtection="1">
      <alignment horizontal="center" vertical="center"/>
    </xf>
    <xf numFmtId="0" fontId="15" fillId="4" borderId="0" xfId="0" applyFont="1" applyFill="1" applyBorder="1" applyAlignment="1" applyProtection="1">
      <alignment horizontal="center" vertical="center" wrapText="1"/>
    </xf>
    <xf numFmtId="0" fontId="14" fillId="4" borderId="0" xfId="0" applyFont="1" applyFill="1" applyBorder="1" applyProtection="1"/>
    <xf numFmtId="0" fontId="14" fillId="4" borderId="18" xfId="0" applyFont="1" applyFill="1" applyBorder="1" applyProtection="1"/>
    <xf numFmtId="0" fontId="14" fillId="3" borderId="0" xfId="0" applyFont="1" applyFill="1" applyBorder="1" applyProtection="1"/>
    <xf numFmtId="2" fontId="3" fillId="4" borderId="17" xfId="0" applyNumberFormat="1" applyFont="1" applyFill="1" applyBorder="1" applyAlignment="1" applyProtection="1">
      <alignment horizontal="center"/>
    </xf>
    <xf numFmtId="0" fontId="0" fillId="4" borderId="0" xfId="0" applyFill="1" applyBorder="1" applyProtection="1"/>
    <xf numFmtId="0" fontId="6" fillId="4" borderId="0" xfId="0" applyFont="1" applyFill="1" applyBorder="1" applyAlignment="1" applyProtection="1">
      <alignment horizontal="center"/>
    </xf>
    <xf numFmtId="8" fontId="6" fillId="4"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xf>
    <xf numFmtId="0" fontId="18" fillId="3" borderId="0" xfId="0" applyFont="1" applyFill="1" applyBorder="1" applyProtection="1"/>
    <xf numFmtId="6" fontId="6" fillId="2" borderId="3" xfId="0" applyNumberFormat="1" applyFont="1" applyFill="1" applyBorder="1" applyAlignment="1" applyProtection="1">
      <alignment horizontal="center" vertical="center" wrapText="1"/>
      <protection locked="0"/>
    </xf>
    <xf numFmtId="6" fontId="3" fillId="2" borderId="3" xfId="0" applyNumberFormat="1" applyFont="1" applyFill="1" applyBorder="1" applyAlignment="1" applyProtection="1">
      <alignment horizontal="center" vertical="center" wrapText="1"/>
      <protection locked="0"/>
    </xf>
    <xf numFmtId="6" fontId="8" fillId="2" borderId="3" xfId="0" applyNumberFormat="1" applyFont="1" applyFill="1" applyBorder="1" applyAlignment="1" applyProtection="1">
      <alignment horizontal="center" vertical="center" wrapText="1"/>
      <protection locked="0"/>
    </xf>
    <xf numFmtId="166" fontId="3" fillId="2" borderId="3" xfId="0" applyNumberFormat="1"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wrapText="1"/>
      <protection locked="0"/>
    </xf>
    <xf numFmtId="0" fontId="0" fillId="3" borderId="0" xfId="0" applyFill="1" applyBorder="1" applyAlignment="1">
      <alignment vertical="center" wrapText="1"/>
    </xf>
    <xf numFmtId="0" fontId="0" fillId="3" borderId="1" xfId="0" applyFill="1" applyBorder="1" applyAlignment="1">
      <alignment vertical="center" wrapText="1"/>
    </xf>
    <xf numFmtId="0" fontId="0" fillId="3" borderId="1" xfId="0" applyFill="1" applyBorder="1"/>
    <xf numFmtId="0" fontId="15" fillId="6" borderId="17" xfId="0" applyFont="1" applyFill="1" applyBorder="1" applyAlignment="1">
      <alignment horizontal="left"/>
    </xf>
    <xf numFmtId="0" fontId="13" fillId="4" borderId="17" xfId="0" applyFont="1" applyFill="1" applyBorder="1" applyAlignment="1">
      <alignment horizontal="left"/>
    </xf>
    <xf numFmtId="164" fontId="13" fillId="4" borderId="0" xfId="0" applyNumberFormat="1" applyFont="1" applyFill="1" applyBorder="1" applyAlignment="1" applyProtection="1">
      <alignment horizontal="center" vertical="center"/>
    </xf>
    <xf numFmtId="164" fontId="13" fillId="4" borderId="18" xfId="0" applyNumberFormat="1" applyFont="1" applyFill="1" applyBorder="1" applyAlignment="1" applyProtection="1">
      <alignment horizontal="center" vertical="center"/>
    </xf>
    <xf numFmtId="0" fontId="3" fillId="4" borderId="15" xfId="0" applyFont="1" applyFill="1" applyBorder="1" applyAlignment="1">
      <alignment horizontal="left" vertical="center"/>
    </xf>
    <xf numFmtId="0" fontId="3" fillId="4" borderId="1" xfId="0" applyFont="1" applyFill="1" applyBorder="1" applyAlignment="1">
      <alignment horizontal="center" vertical="center"/>
    </xf>
    <xf numFmtId="0" fontId="0" fillId="4" borderId="1" xfId="0" applyFill="1" applyBorder="1" applyAlignment="1">
      <alignment vertical="center"/>
    </xf>
    <xf numFmtId="0" fontId="0" fillId="4" borderId="16" xfId="0" applyFill="1" applyBorder="1" applyAlignment="1">
      <alignment vertical="center"/>
    </xf>
    <xf numFmtId="0" fontId="0" fillId="3" borderId="0" xfId="0" applyFill="1" applyAlignment="1">
      <alignment vertical="center"/>
    </xf>
    <xf numFmtId="0" fontId="3" fillId="4" borderId="17"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20" fillId="4" borderId="0" xfId="0" applyFont="1" applyFill="1" applyBorder="1" applyAlignment="1" applyProtection="1">
      <alignment horizontal="center" wrapText="1"/>
    </xf>
    <xf numFmtId="0" fontId="3" fillId="4" borderId="4" xfId="0"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0" fontId="3" fillId="4" borderId="6" xfId="0"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3" fillId="4" borderId="12" xfId="0" applyFont="1" applyFill="1" applyBorder="1" applyAlignment="1" applyProtection="1">
      <alignment horizontal="center" vertical="center" wrapText="1"/>
    </xf>
    <xf numFmtId="0" fontId="3" fillId="4" borderId="13" xfId="0" applyFont="1" applyFill="1" applyBorder="1" applyAlignment="1" applyProtection="1">
      <alignment horizontal="center" vertical="center" wrapText="1"/>
    </xf>
    <xf numFmtId="0" fontId="3" fillId="4" borderId="14" xfId="0" applyFont="1" applyFill="1" applyBorder="1" applyAlignment="1" applyProtection="1">
      <alignment horizontal="center" vertical="center" wrapText="1"/>
    </xf>
    <xf numFmtId="0" fontId="3" fillId="4" borderId="15"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3" fillId="4" borderId="16" xfId="0" applyFont="1" applyFill="1" applyBorder="1" applyAlignment="1" applyProtection="1">
      <alignment horizontal="center" vertical="center" wrapText="1"/>
    </xf>
    <xf numFmtId="0" fontId="3" fillId="4" borderId="17" xfId="0" applyFont="1" applyFill="1" applyBorder="1" applyAlignment="1" applyProtection="1">
      <alignment horizontal="center" vertical="center" wrapText="1"/>
    </xf>
    <xf numFmtId="0" fontId="3" fillId="4" borderId="18" xfId="0" applyFont="1" applyFill="1" applyBorder="1" applyAlignment="1" applyProtection="1">
      <alignment horizontal="center" vertical="center" wrapText="1"/>
    </xf>
    <xf numFmtId="0" fontId="3" fillId="4" borderId="19" xfId="0" applyFont="1" applyFill="1" applyBorder="1" applyAlignment="1" applyProtection="1">
      <alignment horizontal="center" vertical="center" wrapText="1"/>
    </xf>
    <xf numFmtId="0" fontId="3" fillId="4" borderId="2"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xf>
    <xf numFmtId="0" fontId="3" fillId="4" borderId="21" xfId="0" applyFont="1" applyFill="1" applyBorder="1" applyAlignment="1">
      <alignment horizontal="center" vertical="center"/>
    </xf>
    <xf numFmtId="0" fontId="3" fillId="4" borderId="23" xfId="0" applyFont="1" applyFill="1" applyBorder="1" applyAlignment="1">
      <alignment horizontal="center" vertical="center"/>
    </xf>
    <xf numFmtId="0" fontId="12" fillId="4" borderId="17" xfId="0" applyFont="1" applyFill="1" applyBorder="1" applyAlignment="1">
      <alignment horizontal="left" vertical="top" wrapText="1"/>
    </xf>
    <xf numFmtId="0" fontId="12" fillId="4" borderId="0" xfId="0" applyFont="1" applyFill="1" applyBorder="1" applyAlignment="1">
      <alignment horizontal="left" vertical="top" wrapText="1"/>
    </xf>
    <xf numFmtId="0" fontId="12" fillId="4" borderId="18" xfId="0" applyFont="1" applyFill="1" applyBorder="1" applyAlignment="1">
      <alignment horizontal="left" vertical="top" wrapText="1"/>
    </xf>
    <xf numFmtId="0" fontId="2" fillId="4" borderId="17" xfId="0" applyFont="1" applyFill="1" applyBorder="1" applyAlignment="1">
      <alignment horizontal="left" vertical="top" wrapText="1"/>
    </xf>
    <xf numFmtId="0" fontId="2" fillId="4" borderId="0" xfId="0" applyFont="1" applyFill="1" applyBorder="1" applyAlignment="1">
      <alignment horizontal="left" vertical="top" wrapText="1"/>
    </xf>
    <xf numFmtId="0" fontId="2" fillId="4" borderId="18" xfId="0" applyFont="1" applyFill="1" applyBorder="1" applyAlignment="1">
      <alignment horizontal="left" vertical="top" wrapText="1"/>
    </xf>
    <xf numFmtId="0" fontId="2" fillId="4" borderId="17" xfId="0" applyFont="1" applyFill="1" applyBorder="1" applyAlignment="1" applyProtection="1">
      <alignment horizontal="left" wrapText="1"/>
    </xf>
    <xf numFmtId="0" fontId="2" fillId="4" borderId="0" xfId="0" applyFont="1" applyFill="1" applyBorder="1" applyAlignment="1" applyProtection="1">
      <alignment horizontal="left" wrapText="1"/>
    </xf>
    <xf numFmtId="0" fontId="2" fillId="4" borderId="18" xfId="0" applyFont="1" applyFill="1" applyBorder="1" applyAlignment="1" applyProtection="1">
      <alignment horizontal="left" wrapText="1"/>
    </xf>
    <xf numFmtId="0" fontId="3" fillId="4" borderId="21" xfId="0" applyFont="1" applyFill="1" applyBorder="1" applyAlignment="1" applyProtection="1">
      <alignment horizontal="center" vertical="center"/>
    </xf>
    <xf numFmtId="0" fontId="3" fillId="4" borderId="23" xfId="0" applyFont="1" applyFill="1" applyBorder="1" applyAlignment="1" applyProtection="1">
      <alignment horizontal="center" vertical="center"/>
    </xf>
    <xf numFmtId="0" fontId="9" fillId="4" borderId="17"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64" fontId="13" fillId="4" borderId="2" xfId="0" applyNumberFormat="1" applyFont="1" applyFill="1" applyBorder="1" applyAlignment="1" applyProtection="1">
      <alignment horizontal="center"/>
    </xf>
    <xf numFmtId="0" fontId="2" fillId="4" borderId="17" xfId="0" applyFont="1" applyFill="1" applyBorder="1" applyAlignment="1" applyProtection="1">
      <alignment horizontal="left" vertical="top" wrapText="1"/>
    </xf>
    <xf numFmtId="0" fontId="2" fillId="4" borderId="0" xfId="0" applyFont="1" applyFill="1" applyBorder="1" applyAlignment="1" applyProtection="1">
      <alignment horizontal="left" vertical="top" wrapText="1"/>
    </xf>
    <xf numFmtId="0" fontId="2" fillId="4" borderId="18" xfId="0" applyFont="1" applyFill="1" applyBorder="1" applyAlignment="1" applyProtection="1">
      <alignment horizontal="left" vertical="top" wrapText="1"/>
    </xf>
    <xf numFmtId="0" fontId="3" fillId="4" borderId="17" xfId="0" applyFont="1" applyFill="1" applyBorder="1" applyAlignment="1">
      <alignment horizontal="center"/>
    </xf>
    <xf numFmtId="0" fontId="3" fillId="4" borderId="15" xfId="0" applyFont="1" applyFill="1" applyBorder="1" applyAlignment="1">
      <alignment horizontal="left" vertical="center" wrapText="1"/>
    </xf>
    <xf numFmtId="0" fontId="0" fillId="4" borderId="1" xfId="0" applyFill="1" applyBorder="1" applyAlignment="1">
      <alignment horizontal="left" vertical="center" wrapText="1"/>
    </xf>
    <xf numFmtId="0" fontId="0" fillId="4" borderId="16" xfId="0" applyFill="1" applyBorder="1" applyAlignment="1">
      <alignment horizontal="left" vertical="center" wrapText="1"/>
    </xf>
    <xf numFmtId="0" fontId="0" fillId="4" borderId="19" xfId="0" applyFill="1" applyBorder="1" applyAlignment="1">
      <alignment horizontal="left" vertical="center" wrapText="1"/>
    </xf>
    <xf numFmtId="0" fontId="0" fillId="4" borderId="2" xfId="0" applyFill="1" applyBorder="1" applyAlignment="1">
      <alignment horizontal="left" vertical="center" wrapText="1"/>
    </xf>
    <xf numFmtId="0" fontId="0" fillId="4" borderId="20" xfId="0" applyFill="1" applyBorder="1" applyAlignment="1">
      <alignment horizontal="left" vertical="center" wrapText="1"/>
    </xf>
  </cellXfs>
  <cellStyles count="756">
    <cellStyle name="Currency" xfId="435" builtinId="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calcChain" Target="calcChain.xml"/><Relationship Id="rId12" Type="http://schemas.microsoft.com/office/2006/relationships/vbaProject" Target="vbaProject.bin"/><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emf"/><Relationship Id="rId1" Type="http://schemas.openxmlformats.org/officeDocument/2006/relationships/image" Target="../media/image1.jpg"/><Relationship Id="rId2"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6.emf"/><Relationship Id="rId2" Type="http://schemas.openxmlformats.org/officeDocument/2006/relationships/image" Target="../media/image7.emf"/><Relationship Id="rId3"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8</xdr:col>
      <xdr:colOff>88901</xdr:colOff>
      <xdr:row>28</xdr:row>
      <xdr:rowOff>0</xdr:rowOff>
    </xdr:from>
    <xdr:to>
      <xdr:col>9</xdr:col>
      <xdr:colOff>406401</xdr:colOff>
      <xdr:row>33</xdr:row>
      <xdr:rowOff>190500</xdr:rowOff>
    </xdr:to>
    <xdr:pic>
      <xdr:nvPicPr>
        <xdr:cNvPr id="2" name="Picture 1" descr="imgres-1.jp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61" t="7000" r="7508" b="7000"/>
        <a:stretch/>
      </xdr:blipFill>
      <xdr:spPr>
        <a:xfrm>
          <a:off x="6997701" y="7239000"/>
          <a:ext cx="1181100" cy="1092200"/>
        </a:xfrm>
        <a:prstGeom prst="rect">
          <a:avLst/>
        </a:prstGeom>
      </xdr:spPr>
    </xdr:pic>
    <xdr:clientData/>
  </xdr:twoCellAnchor>
  <xdr:twoCellAnchor editAs="oneCell">
    <xdr:from>
      <xdr:col>4</xdr:col>
      <xdr:colOff>444499</xdr:colOff>
      <xdr:row>28</xdr:row>
      <xdr:rowOff>25400</xdr:rowOff>
    </xdr:from>
    <xdr:to>
      <xdr:col>7</xdr:col>
      <xdr:colOff>811472</xdr:colOff>
      <xdr:row>33</xdr:row>
      <xdr:rowOff>177800</xdr:rowOff>
    </xdr:to>
    <xdr:pic>
      <xdr:nvPicPr>
        <xdr:cNvPr id="3" name="Picture 2" descr="imgres.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8899" y="7264400"/>
          <a:ext cx="2957773" cy="1054100"/>
        </a:xfrm>
        <a:prstGeom prst="rect">
          <a:avLst/>
        </a:prstGeom>
      </xdr:spPr>
    </xdr:pic>
    <xdr:clientData/>
  </xdr:twoCellAnchor>
  <xdr:twoCellAnchor editAs="oneCell">
    <xdr:from>
      <xdr:col>3</xdr:col>
      <xdr:colOff>495300</xdr:colOff>
      <xdr:row>24</xdr:row>
      <xdr:rowOff>0</xdr:rowOff>
    </xdr:from>
    <xdr:to>
      <xdr:col>10</xdr:col>
      <xdr:colOff>546100</xdr:colOff>
      <xdr:row>27</xdr:row>
      <xdr:rowOff>106046</xdr:rowOff>
    </xdr:to>
    <xdr:pic>
      <xdr:nvPicPr>
        <xdr:cNvPr id="4" name="Picture 3"/>
        <xdr:cNvPicPr>
          <a:picLocks noChangeAspect="1"/>
        </xdr:cNvPicPr>
      </xdr:nvPicPr>
      <xdr:blipFill>
        <a:blip xmlns:r="http://schemas.openxmlformats.org/officeDocument/2006/relationships" r:embed="rId3"/>
        <a:stretch>
          <a:fillRect/>
        </a:stretch>
      </xdr:blipFill>
      <xdr:spPr>
        <a:xfrm>
          <a:off x="3086100" y="6223000"/>
          <a:ext cx="6096000" cy="918846"/>
        </a:xfrm>
        <a:prstGeom prst="rect">
          <a:avLst/>
        </a:prstGeom>
      </xdr:spPr>
    </xdr:pic>
    <xdr:clientData/>
  </xdr:twoCellAnchor>
  <xdr:twoCellAnchor editAs="oneCell">
    <xdr:from>
      <xdr:col>4</xdr:col>
      <xdr:colOff>38100</xdr:colOff>
      <xdr:row>18</xdr:row>
      <xdr:rowOff>914401</xdr:rowOff>
    </xdr:from>
    <xdr:to>
      <xdr:col>10</xdr:col>
      <xdr:colOff>141932</xdr:colOff>
      <xdr:row>23</xdr:row>
      <xdr:rowOff>88901</xdr:rowOff>
    </xdr:to>
    <xdr:pic>
      <xdr:nvPicPr>
        <xdr:cNvPr id="5" name="Picture 4"/>
        <xdr:cNvPicPr>
          <a:picLocks noChangeAspect="1"/>
        </xdr:cNvPicPr>
      </xdr:nvPicPr>
      <xdr:blipFill>
        <a:blip xmlns:r="http://schemas.openxmlformats.org/officeDocument/2006/relationships" r:embed="rId4"/>
        <a:stretch>
          <a:fillRect/>
        </a:stretch>
      </xdr:blipFill>
      <xdr:spPr>
        <a:xfrm>
          <a:off x="3492500" y="5194301"/>
          <a:ext cx="5285432" cy="9144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-1549400</xdr:colOff>
          <xdr:row>0</xdr:row>
          <xdr:rowOff>-228600</xdr:rowOff>
        </xdr:from>
        <xdr:to>
          <xdr:col>0</xdr:col>
          <xdr:colOff>12700</xdr:colOff>
          <xdr:row>0</xdr:row>
          <xdr:rowOff>292100</xdr:rowOff>
        </xdr:to>
        <xdr:sp macro="" textlink="">
          <xdr:nvSpPr>
            <xdr:cNvPr id="1030" name="Button 6" hidden="1">
              <a:extLst>
                <a:ext uri="{63B3BB69-23CF-44E3-9099-C40C66FF867C}">
                  <a14:compatExt spid="_x0000_s103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200" b="0" i="0" u="none" strike="noStrike" baseline="0">
                  <a:solidFill>
                    <a:srgbClr val="FFFFFF"/>
                  </a:solidFill>
                  <a:latin typeface="Century Gothic"/>
                  <a:ea typeface="Century Gothic"/>
                  <a:cs typeface="Century Gothic"/>
                </a:rPr>
                <a:t>Credits</a:t>
              </a:r>
            </a:p>
          </xdr:txBody>
        </xdr:sp>
        <xdr:clientData fPrintsWithSheet="0"/>
      </xdr:twoCellAnchor>
    </mc:Choice>
    <mc:Fallback/>
  </mc:AlternateContent>
  <xdr:oneCellAnchor>
    <xdr:from>
      <xdr:col>1</xdr:col>
      <xdr:colOff>0</xdr:colOff>
      <xdr:row>3</xdr:row>
      <xdr:rowOff>0</xdr:rowOff>
    </xdr:from>
    <xdr:ext cx="1828800" cy="482600"/>
    <xdr:sp macro="[0]!CropList" textlink="">
      <xdr:nvSpPr>
        <xdr:cNvPr id="50" name="Rounded Rectangle 49"/>
        <xdr:cNvSpPr/>
      </xdr:nvSpPr>
      <xdr:spPr>
        <a:xfrm>
          <a:off x="752475" y="914400"/>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Crop List</a:t>
          </a:r>
        </a:p>
      </xdr:txBody>
    </xdr:sp>
    <xdr:clientData/>
  </xdr:oneCellAnchor>
  <xdr:oneCellAnchor>
    <xdr:from>
      <xdr:col>3</xdr:col>
      <xdr:colOff>431800</xdr:colOff>
      <xdr:row>3</xdr:row>
      <xdr:rowOff>0</xdr:rowOff>
    </xdr:from>
    <xdr:ext cx="1828800" cy="482600"/>
    <xdr:sp macro="[0]!VariableCosts" textlink="">
      <xdr:nvSpPr>
        <xdr:cNvPr id="51" name="Rounded Rectangle 50"/>
        <xdr:cNvSpPr/>
      </xdr:nvSpPr>
      <xdr:spPr>
        <a:xfrm>
          <a:off x="2689225" y="914400"/>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Variable Costs</a:t>
          </a:r>
        </a:p>
      </xdr:txBody>
    </xdr:sp>
    <xdr:clientData/>
  </xdr:oneCellAnchor>
  <xdr:oneCellAnchor>
    <xdr:from>
      <xdr:col>6</xdr:col>
      <xdr:colOff>66675</xdr:colOff>
      <xdr:row>3</xdr:row>
      <xdr:rowOff>9525</xdr:rowOff>
    </xdr:from>
    <xdr:ext cx="1828800" cy="482600"/>
    <xdr:sp macro="[0]!FixedCosts" textlink="">
      <xdr:nvSpPr>
        <xdr:cNvPr id="52" name="Rounded Rectangle 51"/>
        <xdr:cNvSpPr/>
      </xdr:nvSpPr>
      <xdr:spPr>
        <a:xfrm>
          <a:off x="4581525" y="923925"/>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Fixed Costs</a:t>
          </a:r>
        </a:p>
      </xdr:txBody>
    </xdr:sp>
    <xdr:clientData/>
  </xdr:oneCellAnchor>
  <xdr:oneCellAnchor>
    <xdr:from>
      <xdr:col>8</xdr:col>
      <xdr:colOff>460374</xdr:colOff>
      <xdr:row>3</xdr:row>
      <xdr:rowOff>28575</xdr:rowOff>
    </xdr:from>
    <xdr:ext cx="1704975" cy="469900"/>
    <xdr:sp macro="[0]!Outputs" textlink="">
      <xdr:nvSpPr>
        <xdr:cNvPr id="53" name="Rounded Rectangle 52"/>
        <xdr:cNvSpPr/>
      </xdr:nvSpPr>
      <xdr:spPr>
        <a:xfrm>
          <a:off x="6480174" y="942975"/>
          <a:ext cx="1704975"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Outputs</a:t>
          </a:r>
        </a:p>
      </xdr:txBody>
    </xdr:sp>
    <xdr:clientData/>
  </xdr:oneCellAnchor>
  <xdr:oneCellAnchor>
    <xdr:from>
      <xdr:col>10</xdr:col>
      <xdr:colOff>723900</xdr:colOff>
      <xdr:row>3</xdr:row>
      <xdr:rowOff>28575</xdr:rowOff>
    </xdr:from>
    <xdr:ext cx="1828800" cy="469900"/>
    <xdr:sp macro="[0]!Comparisons" textlink="">
      <xdr:nvSpPr>
        <xdr:cNvPr id="54" name="Rounded Rectangle 53"/>
        <xdr:cNvSpPr/>
      </xdr:nvSpPr>
      <xdr:spPr>
        <a:xfrm>
          <a:off x="8248650" y="942975"/>
          <a:ext cx="1828800"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Comparison Charts</a:t>
          </a:r>
        </a:p>
      </xdr:txBody>
    </xdr:sp>
    <xdr:clientData/>
  </xdr:oneCellAnchor>
  <xdr:twoCellAnchor>
    <xdr:from>
      <xdr:col>13</xdr:col>
      <xdr:colOff>403225</xdr:colOff>
      <xdr:row>3</xdr:row>
      <xdr:rowOff>28575</xdr:rowOff>
    </xdr:from>
    <xdr:to>
      <xdr:col>15</xdr:col>
      <xdr:colOff>257175</xdr:colOff>
      <xdr:row>4</xdr:row>
      <xdr:rowOff>212725</xdr:rowOff>
    </xdr:to>
    <xdr:sp macro="[0]!Credits" textlink="">
      <xdr:nvSpPr>
        <xdr:cNvPr id="55" name="Rounded Rectangle 54"/>
        <xdr:cNvSpPr/>
      </xdr:nvSpPr>
      <xdr:spPr>
        <a:xfrm>
          <a:off x="10185400" y="942975"/>
          <a:ext cx="1330325" cy="488950"/>
        </a:xfrm>
        <a:prstGeom prst="roundRect">
          <a:avLst/>
        </a:prstGeom>
        <a:gradFill flip="none" rotWithShape="1">
          <a:gsLst>
            <a:gs pos="62000">
              <a:schemeClr val="tx2">
                <a:lumMod val="90000"/>
                <a:lumOff val="10000"/>
              </a:schemeClr>
            </a:gs>
            <a:gs pos="100000">
              <a:schemeClr val="accent2">
                <a:lumMod val="50000"/>
              </a:schemeClr>
            </a:gs>
          </a:gsLst>
          <a:lin ang="5400000" scaled="0"/>
          <a:tileRect/>
        </a:gradFill>
        <a:ln>
          <a:solidFill>
            <a:schemeClr val="tx2">
              <a:lumMod val="90000"/>
              <a:lumOff val="10000"/>
            </a:schemeClr>
          </a:solidFill>
        </a:ln>
        <a:effectLst>
          <a:outerShdw blurRad="50800" dist="38100" dir="5400000" sx="61000" sy="61000" algn="tl" rotWithShape="0">
            <a:srgbClr val="000000">
              <a:alpha val="49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latin typeface="Century Gothic"/>
              <a:cs typeface="Century Gothic"/>
            </a:rPr>
            <a:t>Credits</a:t>
          </a:r>
        </a:p>
      </xdr:txBody>
    </xdr:sp>
    <xdr:clientData/>
  </xdr:twoCellAnchor>
  <xdr:twoCellAnchor>
    <xdr:from>
      <xdr:col>4</xdr:col>
      <xdr:colOff>635000</xdr:colOff>
      <xdr:row>13</xdr:row>
      <xdr:rowOff>12701</xdr:rowOff>
    </xdr:from>
    <xdr:to>
      <xdr:col>9</xdr:col>
      <xdr:colOff>444500</xdr:colOff>
      <xdr:row>18</xdr:row>
      <xdr:rowOff>800101</xdr:rowOff>
    </xdr:to>
    <xdr:grpSp>
      <xdr:nvGrpSpPr>
        <xdr:cNvPr id="7" name="Group 6"/>
        <xdr:cNvGrpSpPr/>
      </xdr:nvGrpSpPr>
      <xdr:grpSpPr>
        <a:xfrm>
          <a:off x="4089400" y="3276601"/>
          <a:ext cx="4127500" cy="1803400"/>
          <a:chOff x="800100" y="4152900"/>
          <a:chExt cx="4127500" cy="1190594"/>
        </a:xfrm>
      </xdr:grpSpPr>
      <xdr:sp macro="" textlink="">
        <xdr:nvSpPr>
          <xdr:cNvPr id="6" name="Rectangle 5"/>
          <xdr:cNvSpPr/>
        </xdr:nvSpPr>
        <xdr:spPr>
          <a:xfrm>
            <a:off x="800100" y="4152900"/>
            <a:ext cx="4127500" cy="1190594"/>
          </a:xfrm>
          <a:prstGeom prst="rect">
            <a:avLst/>
          </a:prstGeom>
          <a:solidFill>
            <a:schemeClr val="bg1"/>
          </a:solid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pic>
        <xdr:nvPicPr>
          <xdr:cNvPr id="13" name="Picture 12" descr="Resource003842_Rep5467-2.pdf"/>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76299" y="4330700"/>
            <a:ext cx="3928735" cy="90379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292100</xdr:colOff>
      <xdr:row>27</xdr:row>
      <xdr:rowOff>137160</xdr:rowOff>
    </xdr:from>
    <xdr:to>
      <xdr:col>4</xdr:col>
      <xdr:colOff>690880</xdr:colOff>
      <xdr:row>37</xdr:row>
      <xdr:rowOff>0</xdr:rowOff>
    </xdr:to>
    <xdr:grpSp>
      <xdr:nvGrpSpPr>
        <xdr:cNvPr id="10" name="Group 9"/>
        <xdr:cNvGrpSpPr/>
      </xdr:nvGrpSpPr>
      <xdr:grpSpPr>
        <a:xfrm>
          <a:off x="1117600" y="7236460"/>
          <a:ext cx="2875280" cy="1894840"/>
          <a:chOff x="1115060" y="5217160"/>
          <a:chExt cx="2867660" cy="1894840"/>
        </a:xfrm>
      </xdr:grpSpPr>
      <xdr:pic>
        <xdr:nvPicPr>
          <xdr:cNvPr id="2" name="Picture 1"/>
          <xdr:cNvPicPr>
            <a:picLocks noChangeAspect="1"/>
          </xdr:cNvPicPr>
        </xdr:nvPicPr>
        <xdr:blipFill rotWithShape="1">
          <a:blip xmlns:r="http://schemas.openxmlformats.org/officeDocument/2006/relationships" r:embed="rId1"/>
          <a:srcRect b="31554"/>
          <a:stretch/>
        </xdr:blipFill>
        <xdr:spPr>
          <a:xfrm>
            <a:off x="1115060" y="5217160"/>
            <a:ext cx="1115060" cy="1790700"/>
          </a:xfrm>
          <a:prstGeom prst="rect">
            <a:avLst/>
          </a:prstGeom>
        </xdr:spPr>
      </xdr:pic>
      <xdr:sp macro="" textlink="">
        <xdr:nvSpPr>
          <xdr:cNvPr id="3" name="TextBox 2"/>
          <xdr:cNvSpPr txBox="1"/>
        </xdr:nvSpPr>
        <xdr:spPr>
          <a:xfrm>
            <a:off x="2240280" y="5334000"/>
            <a:ext cx="1742440" cy="1778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latin typeface="Century Gothic"/>
                <a:cs typeface="Century Gothic"/>
              </a:rPr>
              <a:t>'Space' and 'Corvair' Spinach</a:t>
            </a:r>
          </a:p>
          <a:p>
            <a:endParaRPr lang="en-US" sz="1200">
              <a:latin typeface="Century Gothic"/>
              <a:cs typeface="Century Gothic"/>
            </a:endParaRPr>
          </a:p>
          <a:p>
            <a:r>
              <a:rPr lang="en-US" sz="1200">
                <a:latin typeface="Century Gothic"/>
                <a:cs typeface="Century Gothic"/>
              </a:rPr>
              <a:t>The most hardy winter salad greens. 'Corvair'</a:t>
            </a:r>
            <a:r>
              <a:rPr lang="en-US" sz="1200" baseline="0">
                <a:latin typeface="Century Gothic"/>
                <a:cs typeface="Century Gothic"/>
              </a:rPr>
              <a:t> has high disease resistance. </a:t>
            </a:r>
            <a:r>
              <a:rPr lang="en-US" sz="1200">
                <a:latin typeface="Century Gothic"/>
                <a:cs typeface="Century Gothic"/>
              </a:rPr>
              <a:t> </a:t>
            </a:r>
          </a:p>
        </xdr:txBody>
      </xdr:sp>
    </xdr:grpSp>
    <xdr:clientData/>
  </xdr:twoCellAnchor>
  <xdr:twoCellAnchor>
    <xdr:from>
      <xdr:col>9</xdr:col>
      <xdr:colOff>419100</xdr:colOff>
      <xdr:row>27</xdr:row>
      <xdr:rowOff>50800</xdr:rowOff>
    </xdr:from>
    <xdr:to>
      <xdr:col>12</xdr:col>
      <xdr:colOff>673100</xdr:colOff>
      <xdr:row>37</xdr:row>
      <xdr:rowOff>25400</xdr:rowOff>
    </xdr:to>
    <xdr:grpSp>
      <xdr:nvGrpSpPr>
        <xdr:cNvPr id="9" name="Group 8"/>
        <xdr:cNvGrpSpPr/>
      </xdr:nvGrpSpPr>
      <xdr:grpSpPr>
        <a:xfrm>
          <a:off x="7848600" y="7150100"/>
          <a:ext cx="2730500" cy="2006600"/>
          <a:chOff x="7825740" y="5130800"/>
          <a:chExt cx="2722880" cy="2006600"/>
        </a:xfrm>
      </xdr:grpSpPr>
      <xdr:pic>
        <xdr:nvPicPr>
          <xdr:cNvPr id="4" name="Picture 3"/>
          <xdr:cNvPicPr>
            <a:picLocks noChangeAspect="1"/>
          </xdr:cNvPicPr>
        </xdr:nvPicPr>
        <xdr:blipFill>
          <a:blip xmlns:r="http://schemas.openxmlformats.org/officeDocument/2006/relationships" r:embed="rId2"/>
          <a:stretch>
            <a:fillRect/>
          </a:stretch>
        </xdr:blipFill>
        <xdr:spPr>
          <a:xfrm>
            <a:off x="7825740" y="5130800"/>
            <a:ext cx="937260" cy="1998216"/>
          </a:xfrm>
          <a:prstGeom prst="rect">
            <a:avLst/>
          </a:prstGeom>
        </xdr:spPr>
      </xdr:pic>
      <xdr:sp macro="" textlink="">
        <xdr:nvSpPr>
          <xdr:cNvPr id="5" name="TextBox 4"/>
          <xdr:cNvSpPr txBox="1"/>
        </xdr:nvSpPr>
        <xdr:spPr>
          <a:xfrm>
            <a:off x="8775700" y="5359400"/>
            <a:ext cx="1772920" cy="1778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latin typeface="Century Gothic"/>
                <a:cs typeface="Century Gothic"/>
              </a:rPr>
              <a:t>Mizuna</a:t>
            </a:r>
          </a:p>
          <a:p>
            <a:endParaRPr lang="en-US" sz="1200">
              <a:latin typeface="Century Gothic"/>
              <a:cs typeface="Century Gothic"/>
            </a:endParaRPr>
          </a:p>
          <a:p>
            <a:r>
              <a:rPr lang="en-US" sz="1200">
                <a:latin typeface="Century Gothic"/>
                <a:cs typeface="Century Gothic"/>
              </a:rPr>
              <a:t>A mild flavored brassica</a:t>
            </a:r>
            <a:r>
              <a:rPr lang="en-US" sz="1200" baseline="0">
                <a:latin typeface="Century Gothic"/>
                <a:cs typeface="Century Gothic"/>
              </a:rPr>
              <a:t> that is fast growing.</a:t>
            </a:r>
            <a:endParaRPr lang="en-US" sz="1200">
              <a:latin typeface="Century Gothic"/>
              <a:cs typeface="Century Gothic"/>
            </a:endParaRPr>
          </a:p>
        </xdr:txBody>
      </xdr:sp>
    </xdr:grpSp>
    <xdr:clientData/>
  </xdr:twoCellAnchor>
  <xdr:twoCellAnchor>
    <xdr:from>
      <xdr:col>5</xdr:col>
      <xdr:colOff>355600</xdr:colOff>
      <xdr:row>26</xdr:row>
      <xdr:rowOff>190500</xdr:rowOff>
    </xdr:from>
    <xdr:to>
      <xdr:col>9</xdr:col>
      <xdr:colOff>12700</xdr:colOff>
      <xdr:row>37</xdr:row>
      <xdr:rowOff>177800</xdr:rowOff>
    </xdr:to>
    <xdr:grpSp>
      <xdr:nvGrpSpPr>
        <xdr:cNvPr id="8" name="Group 7"/>
        <xdr:cNvGrpSpPr/>
      </xdr:nvGrpSpPr>
      <xdr:grpSpPr>
        <a:xfrm>
          <a:off x="4483100" y="7086600"/>
          <a:ext cx="2959100" cy="2222500"/>
          <a:chOff x="4267200" y="4991100"/>
          <a:chExt cx="2959100" cy="2222500"/>
        </a:xfrm>
      </xdr:grpSpPr>
      <xdr:pic>
        <xdr:nvPicPr>
          <xdr:cNvPr id="6" name="Picture 5"/>
          <xdr:cNvPicPr>
            <a:picLocks noChangeAspect="1"/>
          </xdr:cNvPicPr>
        </xdr:nvPicPr>
        <xdr:blipFill rotWithShape="1">
          <a:blip xmlns:r="http://schemas.openxmlformats.org/officeDocument/2006/relationships" r:embed="rId3"/>
          <a:srcRect l="20433"/>
          <a:stretch/>
        </xdr:blipFill>
        <xdr:spPr>
          <a:xfrm>
            <a:off x="4267200" y="4991100"/>
            <a:ext cx="1186878" cy="2222500"/>
          </a:xfrm>
          <a:prstGeom prst="rect">
            <a:avLst/>
          </a:prstGeom>
        </xdr:spPr>
      </xdr:pic>
      <xdr:sp macro="" textlink="">
        <xdr:nvSpPr>
          <xdr:cNvPr id="7" name="TextBox 6"/>
          <xdr:cNvSpPr txBox="1"/>
        </xdr:nvSpPr>
        <xdr:spPr>
          <a:xfrm>
            <a:off x="5397500" y="5295900"/>
            <a:ext cx="1828800" cy="1778000"/>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latin typeface="Century Gothic"/>
                <a:cs typeface="Century Gothic"/>
              </a:rPr>
              <a:t>'Defender'</a:t>
            </a:r>
            <a:r>
              <a:rPr lang="en-US" sz="1400" baseline="0">
                <a:latin typeface="Century Gothic"/>
                <a:cs typeface="Century Gothic"/>
              </a:rPr>
              <a:t> </a:t>
            </a:r>
            <a:r>
              <a:rPr lang="en-US" sz="1400">
                <a:latin typeface="Century Gothic"/>
                <a:cs typeface="Century Gothic"/>
              </a:rPr>
              <a:t>Lettuce</a:t>
            </a:r>
          </a:p>
          <a:p>
            <a:endParaRPr lang="en-US" sz="1200">
              <a:latin typeface="Century Gothic"/>
              <a:cs typeface="Century Gothic"/>
            </a:endParaRPr>
          </a:p>
          <a:p>
            <a:r>
              <a:rPr lang="en-US" sz="1200">
                <a:latin typeface="Century Gothic"/>
                <a:cs typeface="Century Gothic"/>
              </a:rPr>
              <a:t>A romaine variety that has</a:t>
            </a:r>
            <a:r>
              <a:rPr lang="en-US" sz="1200" baseline="0">
                <a:latin typeface="Century Gothic"/>
                <a:cs typeface="Century Gothic"/>
              </a:rPr>
              <a:t> an upright growth habit and has high disease resistance.  Slower growing, but high yielding.</a:t>
            </a:r>
            <a:endParaRPr lang="en-US" sz="1200">
              <a:latin typeface="Century Gothic"/>
              <a:cs typeface="Century Gothic"/>
            </a:endParaRPr>
          </a:p>
        </xdr:txBody>
      </xdr:sp>
    </xdr:grpSp>
    <xdr:clientData/>
  </xdr:twoCellAnchor>
  <xdr:oneCellAnchor>
    <xdr:from>
      <xdr:col>1</xdr:col>
      <xdr:colOff>28575</xdr:colOff>
      <xdr:row>3</xdr:row>
      <xdr:rowOff>0</xdr:rowOff>
    </xdr:from>
    <xdr:ext cx="1828800" cy="482600"/>
    <xdr:sp macro="[0]!CropList" textlink="">
      <xdr:nvSpPr>
        <xdr:cNvPr id="23" name="Rounded Rectangle 22"/>
        <xdr:cNvSpPr/>
      </xdr:nvSpPr>
      <xdr:spPr>
        <a:xfrm>
          <a:off x="752475" y="914400"/>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Crop List</a:t>
          </a:r>
        </a:p>
      </xdr:txBody>
    </xdr:sp>
    <xdr:clientData/>
  </xdr:oneCellAnchor>
  <xdr:oneCellAnchor>
    <xdr:from>
      <xdr:col>3</xdr:col>
      <xdr:colOff>517525</xdr:colOff>
      <xdr:row>3</xdr:row>
      <xdr:rowOff>0</xdr:rowOff>
    </xdr:from>
    <xdr:ext cx="1828800" cy="482600"/>
    <xdr:sp macro="[0]!VariableCosts" textlink="">
      <xdr:nvSpPr>
        <xdr:cNvPr id="24" name="Rounded Rectangle 23"/>
        <xdr:cNvSpPr/>
      </xdr:nvSpPr>
      <xdr:spPr>
        <a:xfrm>
          <a:off x="2689225" y="914400"/>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Variable Costs</a:t>
          </a:r>
        </a:p>
      </xdr:txBody>
    </xdr:sp>
    <xdr:clientData/>
  </xdr:oneCellAnchor>
  <xdr:oneCellAnchor>
    <xdr:from>
      <xdr:col>6</xdr:col>
      <xdr:colOff>238125</xdr:colOff>
      <xdr:row>3</xdr:row>
      <xdr:rowOff>9525</xdr:rowOff>
    </xdr:from>
    <xdr:ext cx="1828800" cy="482600"/>
    <xdr:sp macro="[0]!FixedCosts" textlink="">
      <xdr:nvSpPr>
        <xdr:cNvPr id="25" name="Rounded Rectangle 24"/>
        <xdr:cNvSpPr/>
      </xdr:nvSpPr>
      <xdr:spPr>
        <a:xfrm>
          <a:off x="4581525" y="923925"/>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Fixed Costs</a:t>
          </a:r>
        </a:p>
      </xdr:txBody>
    </xdr:sp>
    <xdr:clientData/>
  </xdr:oneCellAnchor>
  <xdr:oneCellAnchor>
    <xdr:from>
      <xdr:col>8</xdr:col>
      <xdr:colOff>688974</xdr:colOff>
      <xdr:row>3</xdr:row>
      <xdr:rowOff>28575</xdr:rowOff>
    </xdr:from>
    <xdr:ext cx="1704975" cy="469900"/>
    <xdr:sp macro="[0]!Outputs" textlink="">
      <xdr:nvSpPr>
        <xdr:cNvPr id="26" name="Rounded Rectangle 25"/>
        <xdr:cNvSpPr/>
      </xdr:nvSpPr>
      <xdr:spPr>
        <a:xfrm>
          <a:off x="6480174" y="942975"/>
          <a:ext cx="1704975"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Outputs</a:t>
          </a:r>
        </a:p>
      </xdr:txBody>
    </xdr:sp>
    <xdr:clientData/>
  </xdr:oneCellAnchor>
  <xdr:oneCellAnchor>
    <xdr:from>
      <xdr:col>11</xdr:col>
      <xdr:colOff>285750</xdr:colOff>
      <xdr:row>3</xdr:row>
      <xdr:rowOff>28575</xdr:rowOff>
    </xdr:from>
    <xdr:ext cx="1828800" cy="469900"/>
    <xdr:sp macro="[0]!Comparisons" textlink="">
      <xdr:nvSpPr>
        <xdr:cNvPr id="27" name="Rounded Rectangle 26"/>
        <xdr:cNvSpPr/>
      </xdr:nvSpPr>
      <xdr:spPr>
        <a:xfrm>
          <a:off x="8248650" y="942975"/>
          <a:ext cx="1828800"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Comparison Charts</a:t>
          </a:r>
        </a:p>
      </xdr:txBody>
    </xdr:sp>
    <xdr:clientData/>
  </xdr:oneCellAnchor>
  <xdr:twoCellAnchor>
    <xdr:from>
      <xdr:col>14</xdr:col>
      <xdr:colOff>50800</xdr:colOff>
      <xdr:row>3</xdr:row>
      <xdr:rowOff>28575</xdr:rowOff>
    </xdr:from>
    <xdr:to>
      <xdr:col>15</xdr:col>
      <xdr:colOff>657225</xdr:colOff>
      <xdr:row>4</xdr:row>
      <xdr:rowOff>212725</xdr:rowOff>
    </xdr:to>
    <xdr:sp macro="[0]!Credits" textlink="">
      <xdr:nvSpPr>
        <xdr:cNvPr id="28" name="Rounded Rectangle 27"/>
        <xdr:cNvSpPr/>
      </xdr:nvSpPr>
      <xdr:spPr>
        <a:xfrm>
          <a:off x="10185400" y="942975"/>
          <a:ext cx="1330325" cy="488950"/>
        </a:xfrm>
        <a:prstGeom prst="roundRect">
          <a:avLst/>
        </a:prstGeom>
        <a:gradFill flip="none" rotWithShape="1">
          <a:gsLst>
            <a:gs pos="62000">
              <a:schemeClr val="tx2">
                <a:lumMod val="90000"/>
                <a:lumOff val="10000"/>
              </a:schemeClr>
            </a:gs>
            <a:gs pos="100000">
              <a:schemeClr val="accent2">
                <a:lumMod val="50000"/>
              </a:schemeClr>
            </a:gs>
          </a:gsLst>
          <a:lin ang="5400000" scaled="0"/>
          <a:tileRect/>
        </a:gradFill>
        <a:ln>
          <a:solidFill>
            <a:schemeClr val="tx2">
              <a:lumMod val="90000"/>
              <a:lumOff val="10000"/>
            </a:schemeClr>
          </a:solidFill>
        </a:ln>
        <a:effectLst>
          <a:outerShdw blurRad="50800" dist="38100" dir="5400000" sx="61000" sy="61000" algn="tl" rotWithShape="0">
            <a:srgbClr val="000000">
              <a:alpha val="49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latin typeface="Century Gothic"/>
              <a:cs typeface="Century Gothic"/>
            </a:rPr>
            <a:t>Credits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92075</xdr:colOff>
      <xdr:row>3</xdr:row>
      <xdr:rowOff>73025</xdr:rowOff>
    </xdr:from>
    <xdr:ext cx="1828800" cy="482600"/>
    <xdr:sp macro="[0]!CropList" textlink="">
      <xdr:nvSpPr>
        <xdr:cNvPr id="3" name="Rounded Rectangle 2"/>
        <xdr:cNvSpPr/>
      </xdr:nvSpPr>
      <xdr:spPr>
        <a:xfrm>
          <a:off x="815975" y="901700"/>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Crop List</a:t>
          </a:r>
        </a:p>
      </xdr:txBody>
    </xdr:sp>
    <xdr:clientData/>
  </xdr:oneCellAnchor>
  <xdr:oneCellAnchor>
    <xdr:from>
      <xdr:col>2</xdr:col>
      <xdr:colOff>971550</xdr:colOff>
      <xdr:row>3</xdr:row>
      <xdr:rowOff>73025</xdr:rowOff>
    </xdr:from>
    <xdr:ext cx="1828800" cy="482600"/>
    <xdr:sp macro="[0]!VariableCosts" textlink="">
      <xdr:nvSpPr>
        <xdr:cNvPr id="13" name="Rounded Rectangle 12"/>
        <xdr:cNvSpPr/>
      </xdr:nvSpPr>
      <xdr:spPr>
        <a:xfrm>
          <a:off x="2752725" y="901700"/>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Variable Costs</a:t>
          </a:r>
        </a:p>
      </xdr:txBody>
    </xdr:sp>
    <xdr:clientData/>
  </xdr:oneCellAnchor>
  <xdr:oneCellAnchor>
    <xdr:from>
      <xdr:col>4</xdr:col>
      <xdr:colOff>711200</xdr:colOff>
      <xdr:row>3</xdr:row>
      <xdr:rowOff>82550</xdr:rowOff>
    </xdr:from>
    <xdr:ext cx="1828800" cy="482600"/>
    <xdr:sp macro="[0]!FixedCosts" textlink="">
      <xdr:nvSpPr>
        <xdr:cNvPr id="14" name="Rounded Rectangle 13"/>
        <xdr:cNvSpPr/>
      </xdr:nvSpPr>
      <xdr:spPr>
        <a:xfrm>
          <a:off x="4645025" y="911225"/>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Fixed Costs</a:t>
          </a:r>
        </a:p>
      </xdr:txBody>
    </xdr:sp>
    <xdr:clientData/>
  </xdr:oneCellAnchor>
  <xdr:oneCellAnchor>
    <xdr:from>
      <xdr:col>6</xdr:col>
      <xdr:colOff>285749</xdr:colOff>
      <xdr:row>3</xdr:row>
      <xdr:rowOff>101600</xdr:rowOff>
    </xdr:from>
    <xdr:ext cx="1704975" cy="469900"/>
    <xdr:sp macro="[0]!Outputs" textlink="">
      <xdr:nvSpPr>
        <xdr:cNvPr id="15" name="Rounded Rectangle 14"/>
        <xdr:cNvSpPr/>
      </xdr:nvSpPr>
      <xdr:spPr>
        <a:xfrm>
          <a:off x="6543674" y="930275"/>
          <a:ext cx="1704975"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Outputs</a:t>
          </a:r>
        </a:p>
      </xdr:txBody>
    </xdr:sp>
    <xdr:clientData/>
  </xdr:oneCellAnchor>
  <xdr:oneCellAnchor>
    <xdr:from>
      <xdr:col>7</xdr:col>
      <xdr:colOff>996950</xdr:colOff>
      <xdr:row>3</xdr:row>
      <xdr:rowOff>101600</xdr:rowOff>
    </xdr:from>
    <xdr:ext cx="1828800" cy="469900"/>
    <xdr:sp macro="[0]!Comparisons" textlink="">
      <xdr:nvSpPr>
        <xdr:cNvPr id="16" name="Rounded Rectangle 15"/>
        <xdr:cNvSpPr/>
      </xdr:nvSpPr>
      <xdr:spPr>
        <a:xfrm>
          <a:off x="8312150" y="930275"/>
          <a:ext cx="1828800"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Comparison Charts</a:t>
          </a:r>
        </a:p>
      </xdr:txBody>
    </xdr:sp>
    <xdr:clientData/>
  </xdr:oneCellAnchor>
  <xdr:twoCellAnchor>
    <xdr:from>
      <xdr:col>10</xdr:col>
      <xdr:colOff>123825</xdr:colOff>
      <xdr:row>3</xdr:row>
      <xdr:rowOff>101600</xdr:rowOff>
    </xdr:from>
    <xdr:to>
      <xdr:col>12</xdr:col>
      <xdr:colOff>6350</xdr:colOff>
      <xdr:row>5</xdr:row>
      <xdr:rowOff>38100</xdr:rowOff>
    </xdr:to>
    <xdr:sp macro="[0]!Credits" textlink="">
      <xdr:nvSpPr>
        <xdr:cNvPr id="7" name="Rounded Rectangle 6"/>
        <xdr:cNvSpPr/>
      </xdr:nvSpPr>
      <xdr:spPr>
        <a:xfrm>
          <a:off x="10248900" y="930275"/>
          <a:ext cx="1330325" cy="488950"/>
        </a:xfrm>
        <a:prstGeom prst="roundRect">
          <a:avLst/>
        </a:prstGeom>
        <a:gradFill flip="none" rotWithShape="1">
          <a:gsLst>
            <a:gs pos="62000">
              <a:schemeClr val="tx2">
                <a:lumMod val="90000"/>
                <a:lumOff val="10000"/>
              </a:schemeClr>
            </a:gs>
            <a:gs pos="100000">
              <a:schemeClr val="accent2">
                <a:lumMod val="50000"/>
              </a:schemeClr>
            </a:gs>
          </a:gsLst>
          <a:lin ang="5400000" scaled="0"/>
          <a:tileRect/>
        </a:gradFill>
        <a:ln>
          <a:solidFill>
            <a:schemeClr val="tx2">
              <a:lumMod val="90000"/>
              <a:lumOff val="10000"/>
            </a:schemeClr>
          </a:solidFill>
        </a:ln>
        <a:effectLst>
          <a:outerShdw blurRad="50800" dist="38100" dir="5400000" sx="61000" sy="61000" algn="tl" rotWithShape="0">
            <a:srgbClr val="000000">
              <a:alpha val="49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latin typeface="Century Gothic"/>
              <a:cs typeface="Century Gothic"/>
            </a:rPr>
            <a:t>Credits</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50107</xdr:colOff>
      <xdr:row>3</xdr:row>
      <xdr:rowOff>70173</xdr:rowOff>
    </xdr:from>
    <xdr:ext cx="1828800" cy="482600"/>
    <xdr:sp macro="[0]!CropList" textlink="">
      <xdr:nvSpPr>
        <xdr:cNvPr id="12" name="Rounded Rectangle 11"/>
        <xdr:cNvSpPr/>
      </xdr:nvSpPr>
      <xdr:spPr>
        <a:xfrm>
          <a:off x="772002" y="912384"/>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Crop List</a:t>
          </a:r>
        </a:p>
      </xdr:txBody>
    </xdr:sp>
    <xdr:clientData/>
  </xdr:oneCellAnchor>
  <xdr:oneCellAnchor>
    <xdr:from>
      <xdr:col>2</xdr:col>
      <xdr:colOff>512989</xdr:colOff>
      <xdr:row>3</xdr:row>
      <xdr:rowOff>70173</xdr:rowOff>
    </xdr:from>
    <xdr:ext cx="1828800" cy="482600"/>
    <xdr:sp macro="[0]!VariableCosts" textlink="">
      <xdr:nvSpPr>
        <xdr:cNvPr id="13" name="Rounded Rectangle 12"/>
        <xdr:cNvSpPr/>
      </xdr:nvSpPr>
      <xdr:spPr>
        <a:xfrm>
          <a:off x="2708752" y="912384"/>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Variable Costs</a:t>
          </a:r>
        </a:p>
      </xdr:txBody>
    </xdr:sp>
    <xdr:clientData/>
  </xdr:oneCellAnchor>
  <xdr:oneCellAnchor>
    <xdr:from>
      <xdr:col>3</xdr:col>
      <xdr:colOff>1322447</xdr:colOff>
      <xdr:row>3</xdr:row>
      <xdr:rowOff>79698</xdr:rowOff>
    </xdr:from>
    <xdr:ext cx="1828800" cy="482600"/>
    <xdr:sp macro="[0]!FixedCosts" textlink="">
      <xdr:nvSpPr>
        <xdr:cNvPr id="14" name="Rounded Rectangle 13"/>
        <xdr:cNvSpPr/>
      </xdr:nvSpPr>
      <xdr:spPr>
        <a:xfrm>
          <a:off x="4601052" y="921909"/>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Fixed Costs</a:t>
          </a:r>
        </a:p>
      </xdr:txBody>
    </xdr:sp>
    <xdr:clientData/>
  </xdr:oneCellAnchor>
  <xdr:oneCellAnchor>
    <xdr:from>
      <xdr:col>5</xdr:col>
      <xdr:colOff>524017</xdr:colOff>
      <xdr:row>3</xdr:row>
      <xdr:rowOff>98748</xdr:rowOff>
    </xdr:from>
    <xdr:ext cx="1704975" cy="469900"/>
    <xdr:sp macro="[0]!Outputs" textlink="">
      <xdr:nvSpPr>
        <xdr:cNvPr id="15" name="Rounded Rectangle 14"/>
        <xdr:cNvSpPr/>
      </xdr:nvSpPr>
      <xdr:spPr>
        <a:xfrm>
          <a:off x="6499701" y="940959"/>
          <a:ext cx="1704975"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Outputs</a:t>
          </a:r>
        </a:p>
      </xdr:txBody>
    </xdr:sp>
    <xdr:clientData/>
  </xdr:oneCellAnchor>
  <xdr:oneCellAnchor>
    <xdr:from>
      <xdr:col>6</xdr:col>
      <xdr:colOff>1179572</xdr:colOff>
      <xdr:row>3</xdr:row>
      <xdr:rowOff>98748</xdr:rowOff>
    </xdr:from>
    <xdr:ext cx="1828800" cy="469900"/>
    <xdr:sp macro="[0]!Comparisons" textlink="">
      <xdr:nvSpPr>
        <xdr:cNvPr id="16" name="Rounded Rectangle 15"/>
        <xdr:cNvSpPr/>
      </xdr:nvSpPr>
      <xdr:spPr>
        <a:xfrm>
          <a:off x="8268177" y="940959"/>
          <a:ext cx="1828800"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Comparison Charts</a:t>
          </a:r>
        </a:p>
      </xdr:txBody>
    </xdr:sp>
    <xdr:clientData/>
  </xdr:oneCellAnchor>
  <xdr:twoCellAnchor>
    <xdr:from>
      <xdr:col>9</xdr:col>
      <xdr:colOff>38243</xdr:colOff>
      <xdr:row>3</xdr:row>
      <xdr:rowOff>98748</xdr:rowOff>
    </xdr:from>
    <xdr:to>
      <xdr:col>10</xdr:col>
      <xdr:colOff>436120</xdr:colOff>
      <xdr:row>5</xdr:row>
      <xdr:rowOff>26225</xdr:rowOff>
    </xdr:to>
    <xdr:sp macro="[0]!Credits" textlink="">
      <xdr:nvSpPr>
        <xdr:cNvPr id="17" name="Rounded Rectangle 16"/>
        <xdr:cNvSpPr/>
      </xdr:nvSpPr>
      <xdr:spPr>
        <a:xfrm>
          <a:off x="10204927" y="940959"/>
          <a:ext cx="1330325" cy="488950"/>
        </a:xfrm>
        <a:prstGeom prst="roundRect">
          <a:avLst/>
        </a:prstGeom>
        <a:gradFill flip="none" rotWithShape="1">
          <a:gsLst>
            <a:gs pos="62000">
              <a:schemeClr val="tx2">
                <a:lumMod val="90000"/>
                <a:lumOff val="10000"/>
              </a:schemeClr>
            </a:gs>
            <a:gs pos="100000">
              <a:schemeClr val="accent2">
                <a:lumMod val="50000"/>
              </a:schemeClr>
            </a:gs>
          </a:gsLst>
          <a:lin ang="5400000" scaled="0"/>
          <a:tileRect/>
        </a:gradFill>
        <a:ln>
          <a:solidFill>
            <a:schemeClr val="tx2">
              <a:lumMod val="90000"/>
              <a:lumOff val="10000"/>
            </a:schemeClr>
          </a:solidFill>
        </a:ln>
        <a:effectLst>
          <a:outerShdw blurRad="50800" dist="38100" dir="5400000" sx="61000" sy="61000" algn="tl" rotWithShape="0">
            <a:srgbClr val="000000">
              <a:alpha val="49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latin typeface="Century Gothic"/>
              <a:cs typeface="Century Gothic"/>
            </a:rPr>
            <a:t>Credits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3</xdr:row>
      <xdr:rowOff>0</xdr:rowOff>
    </xdr:from>
    <xdr:ext cx="1828800" cy="482600"/>
    <xdr:sp macro="[0]!CropList" textlink="">
      <xdr:nvSpPr>
        <xdr:cNvPr id="12" name="Rounded Rectangle 11"/>
        <xdr:cNvSpPr/>
      </xdr:nvSpPr>
      <xdr:spPr>
        <a:xfrm>
          <a:off x="962025" y="828675"/>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Crop List</a:t>
          </a:r>
        </a:p>
      </xdr:txBody>
    </xdr:sp>
    <xdr:clientData/>
  </xdr:oneCellAnchor>
  <xdr:oneCellAnchor>
    <xdr:from>
      <xdr:col>2</xdr:col>
      <xdr:colOff>679450</xdr:colOff>
      <xdr:row>3</xdr:row>
      <xdr:rowOff>0</xdr:rowOff>
    </xdr:from>
    <xdr:ext cx="1828800" cy="482600"/>
    <xdr:sp macro="[0]!VariableCosts" textlink="">
      <xdr:nvSpPr>
        <xdr:cNvPr id="13" name="Rounded Rectangle 12"/>
        <xdr:cNvSpPr/>
      </xdr:nvSpPr>
      <xdr:spPr>
        <a:xfrm>
          <a:off x="2898775" y="828675"/>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Variable Costs</a:t>
          </a:r>
        </a:p>
      </xdr:txBody>
    </xdr:sp>
    <xdr:clientData/>
  </xdr:oneCellAnchor>
  <xdr:oneCellAnchor>
    <xdr:from>
      <xdr:col>4</xdr:col>
      <xdr:colOff>57150</xdr:colOff>
      <xdr:row>3</xdr:row>
      <xdr:rowOff>9525</xdr:rowOff>
    </xdr:from>
    <xdr:ext cx="1828800" cy="482600"/>
    <xdr:sp macro="[0]!FixedCosts" textlink="">
      <xdr:nvSpPr>
        <xdr:cNvPr id="14" name="Rounded Rectangle 13"/>
        <xdr:cNvSpPr/>
      </xdr:nvSpPr>
      <xdr:spPr>
        <a:xfrm>
          <a:off x="4791075" y="838200"/>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Fixed Costs</a:t>
          </a:r>
        </a:p>
      </xdr:txBody>
    </xdr:sp>
    <xdr:clientData/>
  </xdr:oneCellAnchor>
  <xdr:oneCellAnchor>
    <xdr:from>
      <xdr:col>5</xdr:col>
      <xdr:colOff>698499</xdr:colOff>
      <xdr:row>3</xdr:row>
      <xdr:rowOff>28575</xdr:rowOff>
    </xdr:from>
    <xdr:ext cx="1704975" cy="469900"/>
    <xdr:sp macro="[0]!Outputs" textlink="">
      <xdr:nvSpPr>
        <xdr:cNvPr id="15" name="Rounded Rectangle 14"/>
        <xdr:cNvSpPr/>
      </xdr:nvSpPr>
      <xdr:spPr>
        <a:xfrm>
          <a:off x="6689724" y="857250"/>
          <a:ext cx="1704975"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Outputs</a:t>
          </a:r>
        </a:p>
      </xdr:txBody>
    </xdr:sp>
    <xdr:clientData/>
  </xdr:oneCellAnchor>
  <xdr:oneCellAnchor>
    <xdr:from>
      <xdr:col>6</xdr:col>
      <xdr:colOff>1209675</xdr:colOff>
      <xdr:row>3</xdr:row>
      <xdr:rowOff>28575</xdr:rowOff>
    </xdr:from>
    <xdr:ext cx="1828800" cy="469900"/>
    <xdr:sp macro="[0]!Comparisons" textlink="">
      <xdr:nvSpPr>
        <xdr:cNvPr id="16" name="Rounded Rectangle 15"/>
        <xdr:cNvSpPr/>
      </xdr:nvSpPr>
      <xdr:spPr>
        <a:xfrm>
          <a:off x="8458200" y="857250"/>
          <a:ext cx="1828800"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Comparison Charts</a:t>
          </a:r>
        </a:p>
      </xdr:txBody>
    </xdr:sp>
    <xdr:clientData/>
  </xdr:oneCellAnchor>
  <xdr:twoCellAnchor>
    <xdr:from>
      <xdr:col>8</xdr:col>
      <xdr:colOff>631825</xdr:colOff>
      <xdr:row>3</xdr:row>
      <xdr:rowOff>28575</xdr:rowOff>
    </xdr:from>
    <xdr:to>
      <xdr:col>9</xdr:col>
      <xdr:colOff>704850</xdr:colOff>
      <xdr:row>4</xdr:row>
      <xdr:rowOff>241300</xdr:rowOff>
    </xdr:to>
    <xdr:sp macro="[0]!Credits" textlink="">
      <xdr:nvSpPr>
        <xdr:cNvPr id="17" name="Rounded Rectangle 16"/>
        <xdr:cNvSpPr/>
      </xdr:nvSpPr>
      <xdr:spPr>
        <a:xfrm>
          <a:off x="10394950" y="857250"/>
          <a:ext cx="1330325" cy="488950"/>
        </a:xfrm>
        <a:prstGeom prst="roundRect">
          <a:avLst/>
        </a:prstGeom>
        <a:gradFill flip="none" rotWithShape="1">
          <a:gsLst>
            <a:gs pos="62000">
              <a:schemeClr val="tx2">
                <a:lumMod val="90000"/>
                <a:lumOff val="10000"/>
              </a:schemeClr>
            </a:gs>
            <a:gs pos="100000">
              <a:schemeClr val="accent2">
                <a:lumMod val="50000"/>
              </a:schemeClr>
            </a:gs>
          </a:gsLst>
          <a:lin ang="5400000" scaled="0"/>
          <a:tileRect/>
        </a:gradFill>
        <a:ln>
          <a:solidFill>
            <a:schemeClr val="tx2">
              <a:lumMod val="90000"/>
              <a:lumOff val="10000"/>
            </a:schemeClr>
          </a:solidFill>
        </a:ln>
        <a:effectLst>
          <a:outerShdw blurRad="50800" dist="38100" dir="5400000" sx="61000" sy="61000" algn="tl" rotWithShape="0">
            <a:srgbClr val="000000">
              <a:alpha val="49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latin typeface="Century Gothic"/>
              <a:cs typeface="Century Gothic"/>
            </a:rPr>
            <a:t>Credits</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1828800" cy="482600"/>
    <xdr:sp macro="[0]!CropList" textlink="">
      <xdr:nvSpPr>
        <xdr:cNvPr id="14" name="Rounded Rectangle 13"/>
        <xdr:cNvSpPr/>
      </xdr:nvSpPr>
      <xdr:spPr>
        <a:xfrm>
          <a:off x="873125" y="833438"/>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Crop List</a:t>
          </a:r>
        </a:p>
      </xdr:txBody>
    </xdr:sp>
    <xdr:clientData/>
  </xdr:oneCellAnchor>
  <xdr:oneCellAnchor>
    <xdr:from>
      <xdr:col>2</xdr:col>
      <xdr:colOff>527844</xdr:colOff>
      <xdr:row>3</xdr:row>
      <xdr:rowOff>0</xdr:rowOff>
    </xdr:from>
    <xdr:ext cx="1828800" cy="482600"/>
    <xdr:sp macro="[0]!VariableCosts" textlink="">
      <xdr:nvSpPr>
        <xdr:cNvPr id="15" name="Rounded Rectangle 14"/>
        <xdr:cNvSpPr/>
      </xdr:nvSpPr>
      <xdr:spPr>
        <a:xfrm>
          <a:off x="2809875" y="833438"/>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Variable Costs</a:t>
          </a:r>
        </a:p>
      </xdr:txBody>
    </xdr:sp>
    <xdr:clientData/>
  </xdr:oneCellAnchor>
  <xdr:oneCellAnchor>
    <xdr:from>
      <xdr:col>5</xdr:col>
      <xdr:colOff>217487</xdr:colOff>
      <xdr:row>3</xdr:row>
      <xdr:rowOff>9525</xdr:rowOff>
    </xdr:from>
    <xdr:ext cx="1828800" cy="482600"/>
    <xdr:sp macro="[0]!FixedCosts" textlink="">
      <xdr:nvSpPr>
        <xdr:cNvPr id="16" name="Rounded Rectangle 15"/>
        <xdr:cNvSpPr/>
      </xdr:nvSpPr>
      <xdr:spPr>
        <a:xfrm>
          <a:off x="4702175" y="842963"/>
          <a:ext cx="1828800" cy="4826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Fixed Costs</a:t>
          </a:r>
        </a:p>
      </xdr:txBody>
    </xdr:sp>
    <xdr:clientData/>
  </xdr:oneCellAnchor>
  <xdr:oneCellAnchor>
    <xdr:from>
      <xdr:col>7</xdr:col>
      <xdr:colOff>647699</xdr:colOff>
      <xdr:row>3</xdr:row>
      <xdr:rowOff>28575</xdr:rowOff>
    </xdr:from>
    <xdr:ext cx="1704975" cy="469900"/>
    <xdr:sp macro="[0]!Outputs" textlink="">
      <xdr:nvSpPr>
        <xdr:cNvPr id="17" name="Rounded Rectangle 16"/>
        <xdr:cNvSpPr/>
      </xdr:nvSpPr>
      <xdr:spPr>
        <a:xfrm>
          <a:off x="6600824" y="862013"/>
          <a:ext cx="1704975"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Outputs</a:t>
          </a:r>
        </a:p>
      </xdr:txBody>
    </xdr:sp>
    <xdr:clientData/>
  </xdr:oneCellAnchor>
  <xdr:oneCellAnchor>
    <xdr:from>
      <xdr:col>9</xdr:col>
      <xdr:colOff>1304925</xdr:colOff>
      <xdr:row>3</xdr:row>
      <xdr:rowOff>28575</xdr:rowOff>
    </xdr:from>
    <xdr:ext cx="1828800" cy="469900"/>
    <xdr:sp macro="[0]!Comparisons" textlink="">
      <xdr:nvSpPr>
        <xdr:cNvPr id="18" name="Rounded Rectangle 17"/>
        <xdr:cNvSpPr/>
      </xdr:nvSpPr>
      <xdr:spPr>
        <a:xfrm>
          <a:off x="8369300" y="862013"/>
          <a:ext cx="1828800" cy="469900"/>
        </a:xfrm>
        <a:prstGeom prst="roundRect">
          <a:avLst/>
        </a:prstGeom>
        <a:gradFill flip="none" rotWithShape="1">
          <a:gsLst>
            <a:gs pos="0">
              <a:schemeClr val="accent5">
                <a:lumMod val="50000"/>
              </a:schemeClr>
            </a:gs>
            <a:gs pos="69000">
              <a:schemeClr val="accent5">
                <a:lumMod val="75000"/>
              </a:schemeClr>
            </a:gs>
          </a:gsLst>
          <a:lin ang="16200000" scaled="0"/>
          <a:tileRect/>
        </a:gradFill>
        <a:ln>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1400">
              <a:latin typeface="Century Gothic"/>
              <a:cs typeface="Century Gothic"/>
            </a:rPr>
            <a:t>Comparison Charts</a:t>
          </a:r>
        </a:p>
      </xdr:txBody>
    </xdr:sp>
    <xdr:clientData/>
  </xdr:oneCellAnchor>
  <xdr:twoCellAnchor>
    <xdr:from>
      <xdr:col>12</xdr:col>
      <xdr:colOff>364331</xdr:colOff>
      <xdr:row>3</xdr:row>
      <xdr:rowOff>28575</xdr:rowOff>
    </xdr:from>
    <xdr:to>
      <xdr:col>14</xdr:col>
      <xdr:colOff>365125</xdr:colOff>
      <xdr:row>4</xdr:row>
      <xdr:rowOff>239713</xdr:rowOff>
    </xdr:to>
    <xdr:sp macro="[0]!Credits" textlink="">
      <xdr:nvSpPr>
        <xdr:cNvPr id="19" name="Rounded Rectangle 18"/>
        <xdr:cNvSpPr/>
      </xdr:nvSpPr>
      <xdr:spPr>
        <a:xfrm>
          <a:off x="10306050" y="862013"/>
          <a:ext cx="1330325" cy="488950"/>
        </a:xfrm>
        <a:prstGeom prst="roundRect">
          <a:avLst/>
        </a:prstGeom>
        <a:gradFill flip="none" rotWithShape="1">
          <a:gsLst>
            <a:gs pos="62000">
              <a:schemeClr val="tx2">
                <a:lumMod val="90000"/>
                <a:lumOff val="10000"/>
              </a:schemeClr>
            </a:gs>
            <a:gs pos="100000">
              <a:schemeClr val="accent2">
                <a:lumMod val="50000"/>
              </a:schemeClr>
            </a:gs>
          </a:gsLst>
          <a:lin ang="5400000" scaled="0"/>
          <a:tileRect/>
        </a:gradFill>
        <a:ln>
          <a:solidFill>
            <a:schemeClr val="tx2">
              <a:lumMod val="90000"/>
              <a:lumOff val="10000"/>
            </a:schemeClr>
          </a:solidFill>
        </a:ln>
        <a:effectLst>
          <a:outerShdw blurRad="50800" dist="38100" dir="5400000" sx="61000" sy="61000" algn="tl" rotWithShape="0">
            <a:srgbClr val="000000">
              <a:alpha val="49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latin typeface="Century Gothic"/>
              <a:cs typeface="Century Gothic"/>
            </a:rPr>
            <a:t>Credits</a:t>
          </a:r>
        </a:p>
      </xdr:txBody>
    </xdr:sp>
    <xdr:clientData/>
  </xdr:twoCellAnchor>
</xdr:wsDr>
</file>

<file path=xl/theme/theme1.xml><?xml version="1.0" encoding="utf-8"?>
<a:theme xmlns:a="http://schemas.openxmlformats.org/drawingml/2006/main" name="Office Theme">
  <a:themeElements>
    <a:clrScheme name="Breeze">
      <a:dk1>
        <a:sysClr val="windowText" lastClr="000000"/>
      </a:dk1>
      <a:lt1>
        <a:sysClr val="window" lastClr="FFFFFF"/>
      </a:lt1>
      <a:dk2>
        <a:srgbClr val="09213B"/>
      </a:dk2>
      <a:lt2>
        <a:srgbClr val="D5EDF4"/>
      </a:lt2>
      <a:accent1>
        <a:srgbClr val="2C7C9F"/>
      </a:accent1>
      <a:accent2>
        <a:srgbClr val="244A58"/>
      </a:accent2>
      <a:accent3>
        <a:srgbClr val="E2751D"/>
      </a:accent3>
      <a:accent4>
        <a:srgbClr val="FFB400"/>
      </a:accent4>
      <a:accent5>
        <a:srgbClr val="7EB606"/>
      </a:accent5>
      <a:accent6>
        <a:srgbClr val="C00000"/>
      </a:accent6>
      <a:hlink>
        <a:srgbClr val="7030A0"/>
      </a:hlink>
      <a:folHlink>
        <a:srgbClr val="00B0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J79"/>
  <sheetViews>
    <sheetView topLeftCell="A45" workbookViewId="0">
      <selection activeCell="D76" sqref="D76"/>
    </sheetView>
  </sheetViews>
  <sheetFormatPr baseColWidth="10" defaultColWidth="11.5" defaultRowHeight="13" x14ac:dyDescent="0"/>
  <cols>
    <col min="1" max="1" width="24" customWidth="1"/>
    <col min="2" max="2" width="18.1640625" customWidth="1"/>
    <col min="3" max="3" width="22.33203125" bestFit="1" customWidth="1"/>
    <col min="4" max="4" width="18.33203125" bestFit="1" customWidth="1"/>
    <col min="5" max="5" width="25" bestFit="1" customWidth="1"/>
    <col min="6" max="6" width="14.6640625" bestFit="1" customWidth="1"/>
    <col min="7" max="7" width="13" customWidth="1"/>
    <col min="9" max="9" width="17.6640625" customWidth="1"/>
    <col min="10" max="10" width="19.83203125" customWidth="1"/>
    <col min="12" max="12" width="17.1640625" customWidth="1"/>
  </cols>
  <sheetData>
    <row r="1" spans="1:7" s="71" customFormat="1" ht="20" customHeight="1"/>
    <row r="2" spans="1:7" s="150" customFormat="1" ht="16"/>
    <row r="3" spans="1:7" s="150" customFormat="1" ht="16">
      <c r="A3" s="168" t="s">
        <v>95</v>
      </c>
      <c r="B3" s="169" t="s">
        <v>132</v>
      </c>
      <c r="C3" s="169" t="s">
        <v>133</v>
      </c>
      <c r="D3" s="169" t="s">
        <v>96</v>
      </c>
      <c r="E3" s="170" t="s">
        <v>97</v>
      </c>
      <c r="F3" s="169" t="s">
        <v>143</v>
      </c>
    </row>
    <row r="4" spans="1:7" s="150" customFormat="1" ht="16">
      <c r="B4" s="171">
        <f>'Variable Costs'!D12</f>
        <v>96</v>
      </c>
      <c r="C4" s="171">
        <f>'Variable Costs'!E12</f>
        <v>30</v>
      </c>
      <c r="D4" s="171">
        <f>'Variable Costs'!F12</f>
        <v>2880</v>
      </c>
      <c r="E4" s="171">
        <f>'Variable Costs'!G12</f>
        <v>0.8</v>
      </c>
      <c r="F4" s="171">
        <f>'Variable Costs'!H12</f>
        <v>2304</v>
      </c>
    </row>
    <row r="6" spans="1:7" ht="16">
      <c r="A6" s="7" t="s">
        <v>9</v>
      </c>
      <c r="B6" s="8"/>
      <c r="C6" s="8"/>
      <c r="D6" s="9"/>
      <c r="E6" s="10"/>
      <c r="F6" s="11"/>
      <c r="G6" s="12"/>
    </row>
    <row r="7" spans="1:7" s="40" customFormat="1" ht="16">
      <c r="A7" s="172" t="s">
        <v>10</v>
      </c>
      <c r="B7" s="5" t="s">
        <v>89</v>
      </c>
      <c r="C7" s="197" t="s">
        <v>90</v>
      </c>
      <c r="D7" s="173" t="s">
        <v>88</v>
      </c>
      <c r="E7" s="5" t="s">
        <v>91</v>
      </c>
      <c r="F7" s="174" t="s">
        <v>92</v>
      </c>
      <c r="G7" s="5" t="s">
        <v>7</v>
      </c>
    </row>
    <row r="8" spans="1:7" ht="16">
      <c r="A8" s="38"/>
      <c r="B8" s="198" t="s">
        <v>11</v>
      </c>
      <c r="C8" s="209" t="s">
        <v>100</v>
      </c>
      <c r="D8" s="199">
        <v>70</v>
      </c>
      <c r="E8" s="200" t="s">
        <v>12</v>
      </c>
      <c r="F8" s="201">
        <f>((144*F4)/100000)*D8</f>
        <v>232.2432</v>
      </c>
      <c r="G8" s="41"/>
    </row>
    <row r="9" spans="1:7" ht="16">
      <c r="A9" s="38"/>
      <c r="B9" s="198"/>
      <c r="C9" s="210" t="s">
        <v>101</v>
      </c>
      <c r="D9" s="199">
        <v>150</v>
      </c>
      <c r="E9" s="202" t="s">
        <v>8</v>
      </c>
      <c r="F9" s="203">
        <f>(0.000375*D9)*F4</f>
        <v>129.6</v>
      </c>
      <c r="G9" s="41"/>
    </row>
    <row r="10" spans="1:7" ht="16">
      <c r="A10" s="38"/>
      <c r="B10" s="204"/>
      <c r="C10" s="211" t="s">
        <v>102</v>
      </c>
      <c r="D10" s="205">
        <v>33</v>
      </c>
      <c r="E10" s="206" t="s">
        <v>8</v>
      </c>
      <c r="F10" s="205">
        <f>(0.00075*F4)*D10</f>
        <v>57.024000000000001</v>
      </c>
      <c r="G10" s="70"/>
    </row>
    <row r="11" spans="1:7" ht="16">
      <c r="A11" s="53"/>
      <c r="B11" s="54" t="s">
        <v>13</v>
      </c>
      <c r="C11" s="39" t="s">
        <v>14</v>
      </c>
      <c r="D11" s="16">
        <v>6.1</v>
      </c>
      <c r="E11" s="53" t="s">
        <v>94</v>
      </c>
      <c r="F11" s="56">
        <f>(D11*2*(((F4*0.25)/27)/0.074))</f>
        <v>3517.1171171171172</v>
      </c>
      <c r="G11" s="55"/>
    </row>
    <row r="12" spans="1:7" ht="16">
      <c r="A12" s="53"/>
      <c r="B12" s="54" t="s">
        <v>83</v>
      </c>
      <c r="C12" s="73"/>
      <c r="D12" s="16">
        <v>0.5</v>
      </c>
      <c r="E12" s="53" t="s">
        <v>84</v>
      </c>
      <c r="F12" s="16">
        <v>70</v>
      </c>
      <c r="G12" s="55"/>
    </row>
    <row r="13" spans="1:7" ht="32">
      <c r="A13" s="53"/>
      <c r="B13" s="17" t="s">
        <v>15</v>
      </c>
      <c r="C13" s="17" t="s">
        <v>98</v>
      </c>
      <c r="D13" s="18">
        <v>55</v>
      </c>
      <c r="E13" s="53"/>
      <c r="F13" s="18">
        <v>55</v>
      </c>
      <c r="G13" s="55"/>
    </row>
    <row r="14" spans="1:7" ht="16">
      <c r="A14" s="19"/>
      <c r="B14" s="74"/>
      <c r="C14" s="74"/>
      <c r="D14" s="20"/>
      <c r="E14" s="79"/>
      <c r="F14" s="21"/>
      <c r="G14" s="22">
        <f>SUM(F8:F13)</f>
        <v>4060.9843171171174</v>
      </c>
    </row>
    <row r="15" spans="1:7" ht="16">
      <c r="A15" s="3" t="s">
        <v>16</v>
      </c>
      <c r="B15" s="14"/>
      <c r="C15" s="14"/>
      <c r="D15" s="23">
        <v>12.03</v>
      </c>
      <c r="E15" s="78" t="s">
        <v>17</v>
      </c>
      <c r="F15" s="2"/>
      <c r="G15" s="15"/>
    </row>
    <row r="16" spans="1:7" ht="16">
      <c r="A16" s="3"/>
      <c r="B16" s="14"/>
      <c r="C16" s="14" t="s">
        <v>18</v>
      </c>
      <c r="D16" s="24">
        <f>0.00875*F4</f>
        <v>20.160000000000004</v>
      </c>
      <c r="E16" s="78" t="s">
        <v>0</v>
      </c>
      <c r="F16" s="2">
        <f>$D$15*D16</f>
        <v>242.52480000000003</v>
      </c>
      <c r="G16" s="15"/>
    </row>
    <row r="17" spans="1:10" ht="16">
      <c r="A17" s="3"/>
      <c r="B17" s="14"/>
      <c r="C17" s="14" t="s">
        <v>19</v>
      </c>
      <c r="D17" s="24">
        <f>0.00641*F4</f>
        <v>14.76864</v>
      </c>
      <c r="E17" s="78" t="s">
        <v>0</v>
      </c>
      <c r="F17" s="2">
        <f t="shared" ref="F17:F21" si="0">$D$15*D17</f>
        <v>177.66673919999999</v>
      </c>
      <c r="G17" s="15"/>
    </row>
    <row r="18" spans="1:10" ht="16">
      <c r="A18" s="3"/>
      <c r="B18" s="14"/>
      <c r="C18" s="14" t="s">
        <v>20</v>
      </c>
      <c r="D18" s="24">
        <f>0.003*F4</f>
        <v>6.9119999999999999</v>
      </c>
      <c r="E18" s="78" t="s">
        <v>0</v>
      </c>
      <c r="F18" s="2">
        <f t="shared" si="0"/>
        <v>83.151359999999997</v>
      </c>
      <c r="G18" s="25"/>
    </row>
    <row r="19" spans="1:10" ht="16">
      <c r="A19" s="3"/>
      <c r="B19" s="14"/>
      <c r="C19" s="14" t="s">
        <v>21</v>
      </c>
      <c r="D19" s="24">
        <f>0.0146*F4</f>
        <v>33.638399999999997</v>
      </c>
      <c r="E19" s="78" t="s">
        <v>0</v>
      </c>
      <c r="F19" s="2">
        <f t="shared" si="0"/>
        <v>404.66995199999997</v>
      </c>
      <c r="G19" s="25"/>
    </row>
    <row r="20" spans="1:10" ht="16">
      <c r="A20" s="3"/>
      <c r="B20" s="14"/>
      <c r="C20" s="29" t="s">
        <v>22</v>
      </c>
      <c r="D20" s="27">
        <f>(0.29/(60))*F4</f>
        <v>11.135999999999999</v>
      </c>
      <c r="E20" s="78" t="s">
        <v>0</v>
      </c>
      <c r="F20" s="2">
        <f t="shared" si="0"/>
        <v>133.96607999999998</v>
      </c>
      <c r="G20" s="25"/>
    </row>
    <row r="21" spans="1:10" ht="16">
      <c r="A21" s="26"/>
      <c r="B21" s="29"/>
      <c r="C21" s="29" t="s">
        <v>23</v>
      </c>
      <c r="D21" s="28">
        <v>5</v>
      </c>
      <c r="E21" s="80" t="s">
        <v>0</v>
      </c>
      <c r="F21" s="2">
        <f t="shared" si="0"/>
        <v>60.15</v>
      </c>
      <c r="G21" s="31"/>
    </row>
    <row r="22" spans="1:10" ht="16">
      <c r="A22" s="26"/>
      <c r="B22" s="29"/>
      <c r="C22" s="29"/>
      <c r="D22" s="28"/>
      <c r="E22" s="29"/>
      <c r="F22" s="30"/>
      <c r="G22" s="31"/>
    </row>
    <row r="23" spans="1:10" ht="16">
      <c r="A23" s="32" t="s">
        <v>7</v>
      </c>
      <c r="B23" s="34"/>
      <c r="C23" s="34"/>
      <c r="D23" s="33"/>
      <c r="E23" s="34"/>
      <c r="F23" s="6"/>
      <c r="G23" s="35">
        <f>SUM(F8:F21)</f>
        <v>5163.1132483171168</v>
      </c>
    </row>
    <row r="24" spans="1:10" ht="16">
      <c r="A24" s="25"/>
      <c r="B24" s="148"/>
      <c r="C24" s="148"/>
      <c r="D24" s="55"/>
      <c r="E24" s="148"/>
      <c r="F24" s="22"/>
      <c r="G24" s="149"/>
    </row>
    <row r="25" spans="1:10" ht="16">
      <c r="A25" s="25"/>
      <c r="B25" s="148"/>
      <c r="C25" s="148"/>
      <c r="D25" s="55"/>
      <c r="E25" s="148"/>
      <c r="F25" s="22"/>
      <c r="G25" s="149"/>
    </row>
    <row r="27" spans="1:10" s="40" customFormat="1" ht="32">
      <c r="A27" s="42" t="s">
        <v>3</v>
      </c>
      <c r="B27" s="13" t="s">
        <v>99</v>
      </c>
      <c r="C27" s="37" t="s">
        <v>93</v>
      </c>
      <c r="D27" s="40" t="s">
        <v>67</v>
      </c>
      <c r="E27" s="37"/>
      <c r="F27" s="37" t="s">
        <v>4</v>
      </c>
      <c r="G27" s="37" t="s">
        <v>5</v>
      </c>
      <c r="H27" s="37" t="s">
        <v>6</v>
      </c>
      <c r="I27" s="37"/>
      <c r="J27" s="57" t="s">
        <v>7</v>
      </c>
    </row>
    <row r="28" spans="1:10" s="36" customFormat="1" ht="16">
      <c r="A28" s="175"/>
      <c r="B28" s="176" t="s">
        <v>101</v>
      </c>
      <c r="C28" s="177">
        <v>40</v>
      </c>
      <c r="D28" s="36" t="s">
        <v>75</v>
      </c>
      <c r="E28" s="75" t="str">
        <f>B28&amp;"|"&amp;C28&amp;"|"&amp;D28</f>
        <v>Lettuce|40|Fall Early</v>
      </c>
      <c r="F28" s="1">
        <v>0.32</v>
      </c>
      <c r="G28" s="178">
        <f>F28*$F$4</f>
        <v>737.28</v>
      </c>
      <c r="H28" s="179">
        <f>'Variable Costs'!$C$18</f>
        <v>10</v>
      </c>
      <c r="I28" s="1" t="s">
        <v>8</v>
      </c>
      <c r="J28" s="188">
        <f>G28*H28</f>
        <v>7372.7999999999993</v>
      </c>
    </row>
    <row r="29" spans="1:10" s="40" customFormat="1" ht="16">
      <c r="A29" s="42"/>
      <c r="B29" s="82" t="s">
        <v>101</v>
      </c>
      <c r="C29" s="37">
        <v>40</v>
      </c>
      <c r="D29" s="40" t="s">
        <v>76</v>
      </c>
      <c r="E29" s="39" t="str">
        <f t="shared" ref="E29:E51" si="1">B29&amp;"|"&amp;C29&amp;"|"&amp;D29</f>
        <v>Lettuce|40|Fall Late</v>
      </c>
      <c r="F29" s="37">
        <v>0.41</v>
      </c>
      <c r="G29" s="178">
        <f t="shared" ref="G29:G51" si="2">F29*$F$4</f>
        <v>944.64</v>
      </c>
      <c r="H29" s="66">
        <f>'Variable Costs'!$C$18</f>
        <v>10</v>
      </c>
      <c r="I29" s="4" t="s">
        <v>8</v>
      </c>
      <c r="J29" s="69">
        <f t="shared" ref="J29:J32" si="3">G29*H29</f>
        <v>9446.4</v>
      </c>
    </row>
    <row r="30" spans="1:10" s="40" customFormat="1" ht="16">
      <c r="A30" s="42"/>
      <c r="B30" s="82" t="s">
        <v>101</v>
      </c>
      <c r="C30" s="37">
        <v>40</v>
      </c>
      <c r="D30" s="153" t="s">
        <v>134</v>
      </c>
      <c r="E30" s="39" t="str">
        <f t="shared" si="1"/>
        <v>Lettuce|40|Spring Early</v>
      </c>
      <c r="F30" s="83">
        <v>0.4</v>
      </c>
      <c r="G30" s="178">
        <f t="shared" si="2"/>
        <v>921.6</v>
      </c>
      <c r="H30" s="66">
        <f>'Variable Costs'!$C$18</f>
        <v>10</v>
      </c>
      <c r="I30" s="4" t="s">
        <v>8</v>
      </c>
      <c r="J30" s="69">
        <f t="shared" si="3"/>
        <v>9216</v>
      </c>
    </row>
    <row r="31" spans="1:10" s="40" customFormat="1" ht="16">
      <c r="A31" s="42"/>
      <c r="B31" s="82" t="s">
        <v>101</v>
      </c>
      <c r="C31" s="37">
        <v>40</v>
      </c>
      <c r="D31" s="153" t="s">
        <v>135</v>
      </c>
      <c r="E31" s="39" t="str">
        <f t="shared" si="1"/>
        <v>Lettuce|40|Spring Late</v>
      </c>
      <c r="F31" s="152">
        <v>0.34</v>
      </c>
      <c r="G31" s="178">
        <f t="shared" si="2"/>
        <v>783.36</v>
      </c>
      <c r="H31" s="66">
        <f>'Variable Costs'!$C$18</f>
        <v>10</v>
      </c>
      <c r="I31" s="4" t="s">
        <v>8</v>
      </c>
      <c r="J31" s="69">
        <f t="shared" si="3"/>
        <v>7833.6</v>
      </c>
    </row>
    <row r="32" spans="1:10" s="40" customFormat="1" ht="16">
      <c r="A32" s="42"/>
      <c r="B32" s="82" t="s">
        <v>101</v>
      </c>
      <c r="C32" s="4">
        <v>50</v>
      </c>
      <c r="D32" s="40" t="s">
        <v>75</v>
      </c>
      <c r="E32" s="39" t="str">
        <f t="shared" si="1"/>
        <v>Lettuce|50|Fall Early</v>
      </c>
      <c r="F32" s="77">
        <v>0.31</v>
      </c>
      <c r="G32" s="178">
        <f t="shared" si="2"/>
        <v>714.24</v>
      </c>
      <c r="H32" s="66">
        <f>'Variable Costs'!$C$18</f>
        <v>10</v>
      </c>
      <c r="I32" s="4" t="s">
        <v>8</v>
      </c>
      <c r="J32" s="69">
        <f t="shared" si="3"/>
        <v>7142.4</v>
      </c>
    </row>
    <row r="33" spans="1:10" s="40" customFormat="1" ht="16">
      <c r="A33" s="42"/>
      <c r="B33" s="82" t="s">
        <v>101</v>
      </c>
      <c r="C33" s="4">
        <v>50</v>
      </c>
      <c r="D33" s="40" t="s">
        <v>76</v>
      </c>
      <c r="E33" s="39" t="str">
        <f t="shared" si="1"/>
        <v>Lettuce|50|Fall Late</v>
      </c>
      <c r="F33" s="77">
        <v>0.43</v>
      </c>
      <c r="G33" s="178">
        <f t="shared" si="2"/>
        <v>990.72</v>
      </c>
      <c r="H33" s="66">
        <f>'Variable Costs'!$C$18</f>
        <v>10</v>
      </c>
      <c r="I33" s="4" t="s">
        <v>8</v>
      </c>
      <c r="J33" s="69">
        <f>G33*H33</f>
        <v>9907.2000000000007</v>
      </c>
    </row>
    <row r="34" spans="1:10" s="40" customFormat="1" ht="16">
      <c r="A34" s="42"/>
      <c r="B34" s="82" t="s">
        <v>101</v>
      </c>
      <c r="C34" s="4">
        <v>50</v>
      </c>
      <c r="D34" s="153" t="s">
        <v>134</v>
      </c>
      <c r="E34" s="39" t="str">
        <f t="shared" si="1"/>
        <v>Lettuce|50|Spring Early</v>
      </c>
      <c r="F34" s="37">
        <v>0.31</v>
      </c>
      <c r="G34" s="178">
        <f t="shared" si="2"/>
        <v>714.24</v>
      </c>
      <c r="H34" s="66">
        <f>'Variable Costs'!$C$18</f>
        <v>10</v>
      </c>
      <c r="I34" s="4" t="s">
        <v>8</v>
      </c>
      <c r="J34" s="69">
        <f t="shared" ref="J34:J51" si="4">G34*H34</f>
        <v>7142.4</v>
      </c>
    </row>
    <row r="35" spans="1:10" s="50" customFormat="1" ht="16">
      <c r="A35" s="181"/>
      <c r="B35" s="182" t="s">
        <v>101</v>
      </c>
      <c r="C35" s="5">
        <v>50</v>
      </c>
      <c r="D35" s="183" t="s">
        <v>135</v>
      </c>
      <c r="E35" s="76" t="str">
        <f t="shared" si="1"/>
        <v>Lettuce|50|Spring Late</v>
      </c>
      <c r="F35" s="5">
        <v>0.56000000000000005</v>
      </c>
      <c r="G35" s="178">
        <f t="shared" si="2"/>
        <v>1290.2400000000002</v>
      </c>
      <c r="H35" s="184">
        <f>'Variable Costs'!$C$18</f>
        <v>10</v>
      </c>
      <c r="I35" s="5" t="s">
        <v>8</v>
      </c>
      <c r="J35" s="185">
        <f t="shared" si="4"/>
        <v>12902.400000000001</v>
      </c>
    </row>
    <row r="36" spans="1:10" s="40" customFormat="1" ht="16">
      <c r="A36" s="42"/>
      <c r="B36" s="82" t="s">
        <v>102</v>
      </c>
      <c r="C36" s="37">
        <v>40</v>
      </c>
      <c r="D36" s="40" t="s">
        <v>75</v>
      </c>
      <c r="E36" s="39" t="str">
        <f t="shared" si="1"/>
        <v>Mizuna|40|Fall Early</v>
      </c>
      <c r="F36" s="4">
        <v>0.35</v>
      </c>
      <c r="G36" s="178">
        <f t="shared" si="2"/>
        <v>806.4</v>
      </c>
      <c r="H36" s="66">
        <f>'Variable Costs'!$C$18</f>
        <v>10</v>
      </c>
      <c r="I36" s="4" t="s">
        <v>8</v>
      </c>
      <c r="J36" s="69">
        <f t="shared" si="4"/>
        <v>8064</v>
      </c>
    </row>
    <row r="37" spans="1:10" s="40" customFormat="1" ht="16">
      <c r="A37" s="42"/>
      <c r="B37" s="82" t="s">
        <v>102</v>
      </c>
      <c r="C37" s="37">
        <v>40</v>
      </c>
      <c r="D37" s="40" t="s">
        <v>76</v>
      </c>
      <c r="E37" s="39" t="str">
        <f t="shared" si="1"/>
        <v>Mizuna|40|Fall Late</v>
      </c>
      <c r="F37" s="4">
        <v>0.49</v>
      </c>
      <c r="G37" s="178">
        <f t="shared" si="2"/>
        <v>1128.96</v>
      </c>
      <c r="H37" s="66">
        <f>'Variable Costs'!$C$18</f>
        <v>10</v>
      </c>
      <c r="I37" s="4" t="s">
        <v>8</v>
      </c>
      <c r="J37" s="69">
        <f t="shared" si="4"/>
        <v>11289.6</v>
      </c>
    </row>
    <row r="38" spans="1:10" s="40" customFormat="1" ht="16">
      <c r="A38" s="42"/>
      <c r="B38" s="82" t="s">
        <v>102</v>
      </c>
      <c r="C38" s="37">
        <v>40</v>
      </c>
      <c r="D38" s="153" t="s">
        <v>134</v>
      </c>
      <c r="E38" s="39" t="str">
        <f t="shared" si="1"/>
        <v>Mizuna|40|Spring Early</v>
      </c>
      <c r="F38" s="4">
        <v>0.14000000000000001</v>
      </c>
      <c r="G38" s="178">
        <f t="shared" si="2"/>
        <v>322.56000000000006</v>
      </c>
      <c r="H38" s="66">
        <f>'Variable Costs'!$C$18</f>
        <v>10</v>
      </c>
      <c r="I38" s="4" t="s">
        <v>8</v>
      </c>
      <c r="J38" s="69">
        <f t="shared" si="4"/>
        <v>3225.6000000000004</v>
      </c>
    </row>
    <row r="39" spans="1:10" s="40" customFormat="1" ht="16">
      <c r="A39" s="42"/>
      <c r="B39" s="82" t="s">
        <v>102</v>
      </c>
      <c r="C39" s="37">
        <v>40</v>
      </c>
      <c r="D39" s="153" t="s">
        <v>135</v>
      </c>
      <c r="E39" s="39" t="str">
        <f t="shared" si="1"/>
        <v>Mizuna|40|Spring Late</v>
      </c>
      <c r="F39" s="5">
        <v>0.18</v>
      </c>
      <c r="G39" s="178">
        <f t="shared" si="2"/>
        <v>414.71999999999997</v>
      </c>
      <c r="H39" s="66">
        <f>'Variable Costs'!$C$18</f>
        <v>10</v>
      </c>
      <c r="I39" s="4" t="s">
        <v>8</v>
      </c>
      <c r="J39" s="69">
        <f t="shared" si="4"/>
        <v>4147.2</v>
      </c>
    </row>
    <row r="40" spans="1:10" s="40" customFormat="1" ht="16">
      <c r="B40" s="82" t="s">
        <v>102</v>
      </c>
      <c r="C40" s="4">
        <v>50</v>
      </c>
      <c r="D40" s="40" t="s">
        <v>75</v>
      </c>
      <c r="E40" s="39" t="str">
        <f t="shared" si="1"/>
        <v>Mizuna|50|Fall Early</v>
      </c>
      <c r="F40" s="4">
        <v>0.14000000000000001</v>
      </c>
      <c r="G40" s="178">
        <f t="shared" si="2"/>
        <v>322.56000000000006</v>
      </c>
      <c r="H40" s="66">
        <f>'Variable Costs'!$C$18</f>
        <v>10</v>
      </c>
      <c r="I40" s="4" t="s">
        <v>8</v>
      </c>
      <c r="J40" s="69">
        <f t="shared" si="4"/>
        <v>3225.6000000000004</v>
      </c>
    </row>
    <row r="41" spans="1:10" s="40" customFormat="1" ht="16">
      <c r="B41" s="82" t="s">
        <v>102</v>
      </c>
      <c r="C41" s="4">
        <v>50</v>
      </c>
      <c r="D41" s="40" t="s">
        <v>76</v>
      </c>
      <c r="E41" s="39" t="str">
        <f t="shared" si="1"/>
        <v>Mizuna|50|Fall Late</v>
      </c>
      <c r="F41" s="4">
        <v>0.19</v>
      </c>
      <c r="G41" s="178">
        <f t="shared" si="2"/>
        <v>437.76</v>
      </c>
      <c r="H41" s="66">
        <f>'Variable Costs'!$C$18</f>
        <v>10</v>
      </c>
      <c r="I41" s="4" t="s">
        <v>8</v>
      </c>
      <c r="J41" s="69">
        <f t="shared" si="4"/>
        <v>4377.6000000000004</v>
      </c>
    </row>
    <row r="42" spans="1:10" s="40" customFormat="1" ht="16">
      <c r="B42" s="82" t="s">
        <v>102</v>
      </c>
      <c r="C42" s="4">
        <v>50</v>
      </c>
      <c r="D42" s="153" t="s">
        <v>134</v>
      </c>
      <c r="E42" s="39" t="str">
        <f t="shared" si="1"/>
        <v>Mizuna|50|Spring Early</v>
      </c>
      <c r="F42" s="4">
        <v>0.09</v>
      </c>
      <c r="G42" s="178">
        <f t="shared" si="2"/>
        <v>207.35999999999999</v>
      </c>
      <c r="H42" s="66">
        <f>'Variable Costs'!$C$18</f>
        <v>10</v>
      </c>
      <c r="I42" s="4" t="s">
        <v>8</v>
      </c>
      <c r="J42" s="69">
        <f t="shared" si="4"/>
        <v>2073.6</v>
      </c>
    </row>
    <row r="43" spans="1:10" s="40" customFormat="1" ht="16">
      <c r="B43" s="82" t="s">
        <v>102</v>
      </c>
      <c r="C43" s="4">
        <v>50</v>
      </c>
      <c r="D43" s="153" t="s">
        <v>135</v>
      </c>
      <c r="E43" s="39" t="str">
        <f t="shared" si="1"/>
        <v>Mizuna|50|Spring Late</v>
      </c>
      <c r="F43" s="4">
        <v>0.14000000000000001</v>
      </c>
      <c r="G43" s="178">
        <f t="shared" si="2"/>
        <v>322.56000000000006</v>
      </c>
      <c r="H43" s="66">
        <f>'Variable Costs'!$C$18</f>
        <v>10</v>
      </c>
      <c r="I43" s="4" t="s">
        <v>8</v>
      </c>
      <c r="J43" s="69">
        <f t="shared" si="4"/>
        <v>3225.6000000000004</v>
      </c>
    </row>
    <row r="44" spans="1:10" s="36" customFormat="1" ht="16">
      <c r="B44" s="176" t="s">
        <v>100</v>
      </c>
      <c r="C44" s="177">
        <v>40</v>
      </c>
      <c r="D44" s="36" t="s">
        <v>75</v>
      </c>
      <c r="E44" s="75" t="str">
        <f t="shared" si="1"/>
        <v>Spinach|40|Fall Early</v>
      </c>
      <c r="F44" s="186">
        <v>0.28999999999999998</v>
      </c>
      <c r="G44" s="178">
        <f t="shared" si="2"/>
        <v>668.16</v>
      </c>
      <c r="H44" s="179">
        <f>'Variable Costs'!$C$18</f>
        <v>10</v>
      </c>
      <c r="I44" s="1" t="s">
        <v>8</v>
      </c>
      <c r="J44" s="180">
        <f t="shared" si="4"/>
        <v>6681.5999999999995</v>
      </c>
    </row>
    <row r="45" spans="1:10" s="40" customFormat="1" ht="16">
      <c r="B45" s="82" t="s">
        <v>100</v>
      </c>
      <c r="C45" s="37">
        <v>40</v>
      </c>
      <c r="D45" s="40" t="s">
        <v>76</v>
      </c>
      <c r="E45" s="39" t="str">
        <f t="shared" si="1"/>
        <v>Spinach|40|Fall Late</v>
      </c>
      <c r="F45" s="83">
        <v>0.28999999999999998</v>
      </c>
      <c r="G45" s="178">
        <f t="shared" si="2"/>
        <v>668.16</v>
      </c>
      <c r="H45" s="66">
        <f>'Variable Costs'!$C$18</f>
        <v>10</v>
      </c>
      <c r="I45" s="4" t="s">
        <v>8</v>
      </c>
      <c r="J45" s="69">
        <f t="shared" si="4"/>
        <v>6681.5999999999995</v>
      </c>
    </row>
    <row r="46" spans="1:10" s="40" customFormat="1" ht="16">
      <c r="B46" s="82" t="s">
        <v>100</v>
      </c>
      <c r="C46" s="37">
        <v>40</v>
      </c>
      <c r="D46" s="153" t="s">
        <v>134</v>
      </c>
      <c r="E46" s="39" t="str">
        <f t="shared" si="1"/>
        <v>Spinach|40|Spring Early</v>
      </c>
      <c r="F46" s="83">
        <v>0.28999999999999998</v>
      </c>
      <c r="G46" s="178">
        <f t="shared" si="2"/>
        <v>668.16</v>
      </c>
      <c r="H46" s="66">
        <f>'Variable Costs'!$C$18</f>
        <v>10</v>
      </c>
      <c r="I46" s="4" t="s">
        <v>8</v>
      </c>
      <c r="J46" s="69">
        <f t="shared" si="4"/>
        <v>6681.5999999999995</v>
      </c>
    </row>
    <row r="47" spans="1:10" s="40" customFormat="1" ht="16">
      <c r="B47" s="82" t="s">
        <v>100</v>
      </c>
      <c r="C47" s="37">
        <v>40</v>
      </c>
      <c r="D47" s="153" t="s">
        <v>135</v>
      </c>
      <c r="E47" s="39" t="str">
        <f t="shared" si="1"/>
        <v>Spinach|40|Spring Late</v>
      </c>
      <c r="F47" s="83">
        <v>0.28999999999999998</v>
      </c>
      <c r="G47" s="178">
        <f t="shared" si="2"/>
        <v>668.16</v>
      </c>
      <c r="H47" s="66">
        <f>'Variable Costs'!$C$18</f>
        <v>10</v>
      </c>
      <c r="I47" s="4" t="s">
        <v>8</v>
      </c>
      <c r="J47" s="69">
        <f t="shared" si="4"/>
        <v>6681.5999999999995</v>
      </c>
    </row>
    <row r="48" spans="1:10" s="40" customFormat="1" ht="16">
      <c r="B48" s="82" t="s">
        <v>100</v>
      </c>
      <c r="C48" s="4">
        <v>50</v>
      </c>
      <c r="D48" s="40" t="s">
        <v>75</v>
      </c>
      <c r="E48" s="39" t="str">
        <f t="shared" si="1"/>
        <v>Spinach|50|Fall Early</v>
      </c>
      <c r="F48" s="77">
        <v>0.23</v>
      </c>
      <c r="G48" s="178">
        <f t="shared" si="2"/>
        <v>529.92000000000007</v>
      </c>
      <c r="H48" s="66">
        <f>'Variable Costs'!$C$18</f>
        <v>10</v>
      </c>
      <c r="I48" s="4" t="s">
        <v>8</v>
      </c>
      <c r="J48" s="69">
        <f t="shared" si="4"/>
        <v>5299.2000000000007</v>
      </c>
    </row>
    <row r="49" spans="1:10" s="40" customFormat="1" ht="16">
      <c r="B49" s="82" t="s">
        <v>100</v>
      </c>
      <c r="C49" s="4">
        <v>50</v>
      </c>
      <c r="D49" s="40" t="s">
        <v>76</v>
      </c>
      <c r="E49" s="39" t="str">
        <f t="shared" si="1"/>
        <v>Spinach|50|Fall Late</v>
      </c>
      <c r="F49" s="77">
        <v>0.23</v>
      </c>
      <c r="G49" s="178">
        <f t="shared" si="2"/>
        <v>529.92000000000007</v>
      </c>
      <c r="H49" s="66">
        <f>'Variable Costs'!$C$18</f>
        <v>10</v>
      </c>
      <c r="I49" s="4" t="s">
        <v>8</v>
      </c>
      <c r="J49" s="69">
        <f t="shared" si="4"/>
        <v>5299.2000000000007</v>
      </c>
    </row>
    <row r="50" spans="1:10" s="40" customFormat="1" ht="16">
      <c r="B50" s="82" t="s">
        <v>100</v>
      </c>
      <c r="C50" s="4">
        <v>50</v>
      </c>
      <c r="D50" s="153" t="s">
        <v>134</v>
      </c>
      <c r="E50" s="39" t="str">
        <f t="shared" si="1"/>
        <v>Spinach|50|Spring Early</v>
      </c>
      <c r="F50" s="77">
        <v>0.23</v>
      </c>
      <c r="G50" s="178">
        <f t="shared" si="2"/>
        <v>529.92000000000007</v>
      </c>
      <c r="H50" s="66">
        <f>'Variable Costs'!$C$18</f>
        <v>10</v>
      </c>
      <c r="I50" s="4" t="s">
        <v>8</v>
      </c>
      <c r="J50" s="69">
        <f t="shared" si="4"/>
        <v>5299.2000000000007</v>
      </c>
    </row>
    <row r="51" spans="1:10" s="50" customFormat="1" ht="16">
      <c r="A51" s="181"/>
      <c r="B51" s="182" t="s">
        <v>100</v>
      </c>
      <c r="C51" s="5">
        <v>50</v>
      </c>
      <c r="D51" s="183" t="s">
        <v>135</v>
      </c>
      <c r="E51" s="76" t="str">
        <f t="shared" si="1"/>
        <v>Spinach|50|Spring Late</v>
      </c>
      <c r="F51" s="187">
        <v>0.23</v>
      </c>
      <c r="G51" s="178">
        <f t="shared" si="2"/>
        <v>529.92000000000007</v>
      </c>
      <c r="H51" s="184">
        <f>'Variable Costs'!$C$18</f>
        <v>10</v>
      </c>
      <c r="I51" s="5" t="s">
        <v>8</v>
      </c>
      <c r="J51" s="185">
        <f t="shared" si="4"/>
        <v>5299.2000000000007</v>
      </c>
    </row>
    <row r="52" spans="1:10">
      <c r="A52" s="40"/>
    </row>
    <row r="54" spans="1:10" ht="16">
      <c r="A54" s="151" t="s">
        <v>129</v>
      </c>
    </row>
    <row r="55" spans="1:10" s="64" customFormat="1" ht="48">
      <c r="A55" s="60" t="s">
        <v>81</v>
      </c>
      <c r="B55" s="61" t="s">
        <v>67</v>
      </c>
      <c r="C55" s="62" t="s">
        <v>68</v>
      </c>
      <c r="E55" s="62" t="s">
        <v>69</v>
      </c>
      <c r="F55" s="62" t="s">
        <v>70</v>
      </c>
      <c r="G55" s="63" t="s">
        <v>71</v>
      </c>
      <c r="H55" s="63" t="s">
        <v>72</v>
      </c>
      <c r="I55" s="63" t="s">
        <v>73</v>
      </c>
      <c r="J55" s="63" t="s">
        <v>74</v>
      </c>
    </row>
    <row r="56" spans="1:10" s="36" customFormat="1" ht="16">
      <c r="A56" s="84" t="s">
        <v>109</v>
      </c>
      <c r="B56" s="85" t="s">
        <v>2</v>
      </c>
      <c r="C56" s="86" t="s">
        <v>130</v>
      </c>
      <c r="D56" s="91" t="str">
        <f t="shared" ref="D56:D79" si="5">A56&amp;" "&amp;B56&amp;" "&amp;C56</f>
        <v>Lettuce|40 Fall Early</v>
      </c>
      <c r="E56" s="1">
        <v>39</v>
      </c>
      <c r="F56" s="1">
        <v>44</v>
      </c>
      <c r="G56" s="51">
        <f t="shared" ref="G56:G79" si="6">F56-E56</f>
        <v>5</v>
      </c>
      <c r="H56" s="52">
        <v>41.795665634674926</v>
      </c>
      <c r="I56" s="68">
        <f t="shared" ref="I56:I79" si="7">H56*3.23</f>
        <v>135</v>
      </c>
      <c r="J56" s="45">
        <f>('Fixed Costs'!$K$53*(G56/(20+G56)))</f>
        <v>944.54016920000004</v>
      </c>
    </row>
    <row r="57" spans="1:10" s="40" customFormat="1" ht="16">
      <c r="A57" s="77" t="s">
        <v>109</v>
      </c>
      <c r="B57" s="87" t="s">
        <v>2</v>
      </c>
      <c r="C57" s="72" t="s">
        <v>131</v>
      </c>
      <c r="D57" s="92" t="str">
        <f t="shared" si="5"/>
        <v>Lettuce|40 Fall Late</v>
      </c>
      <c r="E57" s="4">
        <v>44</v>
      </c>
      <c r="F57" s="4">
        <v>51</v>
      </c>
      <c r="G57" s="43">
        <f t="shared" si="6"/>
        <v>7</v>
      </c>
      <c r="H57" s="44">
        <v>274.92260061919507</v>
      </c>
      <c r="I57" s="45">
        <f t="shared" si="7"/>
        <v>888.00000000000011</v>
      </c>
      <c r="J57" s="45">
        <f>('Fixed Costs'!$K$53*(G57/(20+G57)))</f>
        <v>1224.403923037037</v>
      </c>
    </row>
    <row r="58" spans="1:10" s="40" customFormat="1" ht="16">
      <c r="A58" s="77" t="s">
        <v>109</v>
      </c>
      <c r="B58" s="87" t="s">
        <v>82</v>
      </c>
      <c r="C58" s="86" t="s">
        <v>130</v>
      </c>
      <c r="D58" s="92" t="str">
        <f t="shared" si="5"/>
        <v>Lettuce|40 Winter Early</v>
      </c>
      <c r="E58" s="4">
        <v>4</v>
      </c>
      <c r="F58" s="4">
        <v>11</v>
      </c>
      <c r="G58" s="43">
        <f t="shared" si="6"/>
        <v>7</v>
      </c>
      <c r="H58" s="44">
        <v>719.50464396284826</v>
      </c>
      <c r="I58" s="45">
        <f t="shared" si="7"/>
        <v>2324</v>
      </c>
      <c r="J58" s="45">
        <f>('Fixed Costs'!$K$53*(G58/(20)))</f>
        <v>1652.9452960999997</v>
      </c>
    </row>
    <row r="59" spans="1:10" s="40" customFormat="1" ht="16">
      <c r="A59" s="77" t="s">
        <v>109</v>
      </c>
      <c r="B59" s="88" t="s">
        <v>82</v>
      </c>
      <c r="C59" s="72" t="s">
        <v>131</v>
      </c>
      <c r="D59" s="92" t="str">
        <f t="shared" si="5"/>
        <v>Lettuce|40 Winter Late</v>
      </c>
      <c r="E59" s="4">
        <v>12</v>
      </c>
      <c r="F59" s="4">
        <v>16</v>
      </c>
      <c r="G59" s="43">
        <f t="shared" si="6"/>
        <v>4</v>
      </c>
      <c r="H59" s="44">
        <v>145.51083591331269</v>
      </c>
      <c r="I59" s="45">
        <f t="shared" si="7"/>
        <v>470</v>
      </c>
      <c r="J59" s="45">
        <f>('Fixed Costs'!$K$53*(G59/(20)))</f>
        <v>944.54016920000004</v>
      </c>
    </row>
    <row r="60" spans="1:10" s="40" customFormat="1" ht="16">
      <c r="A60" s="89" t="s">
        <v>108</v>
      </c>
      <c r="B60" s="87" t="s">
        <v>2</v>
      </c>
      <c r="C60" s="86" t="s">
        <v>130</v>
      </c>
      <c r="D60" s="92" t="str">
        <f t="shared" si="5"/>
        <v>Lettuce|50 Fall Early</v>
      </c>
      <c r="E60" s="49">
        <v>39</v>
      </c>
      <c r="F60" s="49">
        <v>44</v>
      </c>
      <c r="G60" s="43">
        <f t="shared" si="6"/>
        <v>5</v>
      </c>
      <c r="H60" s="44">
        <v>139.3188854489164</v>
      </c>
      <c r="I60" s="45">
        <f t="shared" si="7"/>
        <v>450</v>
      </c>
      <c r="J60" s="45">
        <f>('Fixed Costs'!$K$53*(G60/(20+G60)))</f>
        <v>944.54016920000004</v>
      </c>
    </row>
    <row r="61" spans="1:10" s="40" customFormat="1" ht="16">
      <c r="A61" s="89" t="s">
        <v>108</v>
      </c>
      <c r="B61" s="87" t="s">
        <v>2</v>
      </c>
      <c r="C61" s="72" t="s">
        <v>131</v>
      </c>
      <c r="D61" s="92" t="str">
        <f t="shared" si="5"/>
        <v>Lettuce|50 Fall Late</v>
      </c>
      <c r="E61" s="49">
        <v>44</v>
      </c>
      <c r="F61" s="49">
        <v>49</v>
      </c>
      <c r="G61" s="43">
        <f t="shared" si="6"/>
        <v>5</v>
      </c>
      <c r="H61" s="44">
        <v>475.23219814241486</v>
      </c>
      <c r="I61" s="45">
        <f t="shared" si="7"/>
        <v>1535</v>
      </c>
      <c r="J61" s="45">
        <f>('Fixed Costs'!$K$53*(G61/(20+G61)))</f>
        <v>944.54016920000004</v>
      </c>
    </row>
    <row r="62" spans="1:10" s="40" customFormat="1" ht="16">
      <c r="A62" s="89" t="s">
        <v>108</v>
      </c>
      <c r="B62" s="87" t="s">
        <v>82</v>
      </c>
      <c r="C62" s="86" t="s">
        <v>130</v>
      </c>
      <c r="D62" s="92" t="str">
        <f t="shared" si="5"/>
        <v>Lettuce|50 Winter Early</v>
      </c>
      <c r="E62" s="49">
        <v>4</v>
      </c>
      <c r="F62" s="49">
        <v>10</v>
      </c>
      <c r="G62" s="43">
        <f t="shared" si="6"/>
        <v>6</v>
      </c>
      <c r="H62" s="44">
        <v>900.30959752321985</v>
      </c>
      <c r="I62" s="45">
        <f t="shared" si="7"/>
        <v>2908</v>
      </c>
      <c r="J62" s="45">
        <f>('Fixed Costs'!$K$53*(G62/(20)))</f>
        <v>1416.8102537999998</v>
      </c>
    </row>
    <row r="63" spans="1:10" s="40" customFormat="1" ht="16">
      <c r="A63" s="90" t="s">
        <v>108</v>
      </c>
      <c r="B63" s="88" t="s">
        <v>82</v>
      </c>
      <c r="C63" s="72" t="s">
        <v>131</v>
      </c>
      <c r="D63" s="93" t="str">
        <f t="shared" si="5"/>
        <v>Lettuce|50 Winter Late</v>
      </c>
      <c r="E63" s="46">
        <v>11</v>
      </c>
      <c r="F63" s="46">
        <v>16</v>
      </c>
      <c r="G63" s="47">
        <f t="shared" si="6"/>
        <v>5</v>
      </c>
      <c r="H63" s="48">
        <v>593.80804953560369</v>
      </c>
      <c r="I63" s="67">
        <f t="shared" si="7"/>
        <v>1918</v>
      </c>
      <c r="J63" s="45">
        <f>('Fixed Costs'!$K$53*(G63/(20)))</f>
        <v>1180.6752114999999</v>
      </c>
    </row>
    <row r="64" spans="1:10" s="36" customFormat="1" ht="16">
      <c r="A64" s="77" t="s">
        <v>110</v>
      </c>
      <c r="B64" s="85" t="s">
        <v>2</v>
      </c>
      <c r="C64" s="86" t="s">
        <v>130</v>
      </c>
      <c r="D64" s="92" t="str">
        <f t="shared" si="5"/>
        <v>Mizuna|40 Fall Early</v>
      </c>
      <c r="E64" s="4">
        <v>40</v>
      </c>
      <c r="F64" s="4">
        <v>43</v>
      </c>
      <c r="G64" s="43">
        <f t="shared" si="6"/>
        <v>3</v>
      </c>
      <c r="H64" s="44">
        <v>34.055727554179569</v>
      </c>
      <c r="I64" s="45">
        <f t="shared" si="7"/>
        <v>110.00000000000001</v>
      </c>
      <c r="J64" s="45">
        <f>('Fixed Costs'!$K$53*(G64/(20+G64)))</f>
        <v>616.00445817391301</v>
      </c>
    </row>
    <row r="65" spans="1:10" s="40" customFormat="1" ht="16">
      <c r="A65" s="77" t="s">
        <v>110</v>
      </c>
      <c r="B65" s="87" t="s">
        <v>2</v>
      </c>
      <c r="C65" s="72" t="s">
        <v>131</v>
      </c>
      <c r="D65" s="92" t="str">
        <f t="shared" si="5"/>
        <v>Mizuna|40 Fall Late</v>
      </c>
      <c r="E65" s="4">
        <v>44</v>
      </c>
      <c r="F65" s="4">
        <v>49</v>
      </c>
      <c r="G65" s="43">
        <f t="shared" si="6"/>
        <v>5</v>
      </c>
      <c r="H65" s="44">
        <v>196.90402476780187</v>
      </c>
      <c r="I65" s="45">
        <f t="shared" si="7"/>
        <v>636</v>
      </c>
      <c r="J65" s="45">
        <f>('Fixed Costs'!$K$53*(G65/(20+G65)))</f>
        <v>944.54016920000004</v>
      </c>
    </row>
    <row r="66" spans="1:10" s="40" customFormat="1" ht="16">
      <c r="A66" s="77" t="s">
        <v>110</v>
      </c>
      <c r="B66" s="87" t="s">
        <v>82</v>
      </c>
      <c r="C66" s="86" t="s">
        <v>130</v>
      </c>
      <c r="D66" s="92" t="str">
        <f t="shared" si="5"/>
        <v>Mizuna|40 Winter Early</v>
      </c>
      <c r="E66" s="4">
        <v>4</v>
      </c>
      <c r="F66" s="4">
        <v>10</v>
      </c>
      <c r="G66" s="43">
        <f t="shared" si="6"/>
        <v>6</v>
      </c>
      <c r="H66" s="44">
        <v>610.52631578947364</v>
      </c>
      <c r="I66" s="45">
        <f t="shared" si="7"/>
        <v>1971.9999999999998</v>
      </c>
      <c r="J66" s="45">
        <f>('Fixed Costs'!$K$53*(G66/(20)))</f>
        <v>1416.8102537999998</v>
      </c>
    </row>
    <row r="67" spans="1:10" s="40" customFormat="1" ht="16">
      <c r="A67" s="77" t="s">
        <v>110</v>
      </c>
      <c r="B67" s="88" t="s">
        <v>82</v>
      </c>
      <c r="C67" s="72" t="s">
        <v>131</v>
      </c>
      <c r="D67" s="92" t="str">
        <f t="shared" si="5"/>
        <v>Mizuna|40 Winter Late</v>
      </c>
      <c r="E67" s="4">
        <v>11</v>
      </c>
      <c r="F67" s="4">
        <v>14</v>
      </c>
      <c r="G67" s="43">
        <f t="shared" si="6"/>
        <v>3</v>
      </c>
      <c r="H67" s="44">
        <v>149.22600619195046</v>
      </c>
      <c r="I67" s="45">
        <f t="shared" si="7"/>
        <v>482</v>
      </c>
      <c r="J67" s="45">
        <f>('Fixed Costs'!$K$53*(G67/(20)))</f>
        <v>708.40512689999991</v>
      </c>
    </row>
    <row r="68" spans="1:10" s="40" customFormat="1" ht="16">
      <c r="A68" s="89" t="s">
        <v>111</v>
      </c>
      <c r="B68" s="87" t="s">
        <v>2</v>
      </c>
      <c r="C68" s="86" t="s">
        <v>130</v>
      </c>
      <c r="D68" s="92" t="str">
        <f t="shared" si="5"/>
        <v>Mizuna|50 Fall Early</v>
      </c>
      <c r="E68" s="49">
        <v>40</v>
      </c>
      <c r="F68" s="49">
        <v>43</v>
      </c>
      <c r="G68" s="4">
        <f t="shared" si="6"/>
        <v>3</v>
      </c>
      <c r="H68" s="58">
        <v>80.495356037151709</v>
      </c>
      <c r="I68" s="45">
        <f t="shared" si="7"/>
        <v>260</v>
      </c>
      <c r="J68" s="45">
        <f>('Fixed Costs'!$K$53*(G68/(20+G68)))</f>
        <v>616.00445817391301</v>
      </c>
    </row>
    <row r="69" spans="1:10" s="40" customFormat="1" ht="16">
      <c r="A69" s="89" t="s">
        <v>111</v>
      </c>
      <c r="B69" s="87" t="s">
        <v>2</v>
      </c>
      <c r="C69" s="72" t="s">
        <v>131</v>
      </c>
      <c r="D69" s="92" t="str">
        <f t="shared" si="5"/>
        <v>Mizuna|50 Fall Late</v>
      </c>
      <c r="E69" s="49">
        <v>44</v>
      </c>
      <c r="F69" s="49">
        <v>50</v>
      </c>
      <c r="G69" s="4">
        <f t="shared" si="6"/>
        <v>6</v>
      </c>
      <c r="H69" s="58">
        <v>401.85758513931887</v>
      </c>
      <c r="I69" s="45">
        <f t="shared" si="7"/>
        <v>1298</v>
      </c>
      <c r="J69" s="45">
        <f>('Fixed Costs'!$K$53*(G69/(20+G69)))</f>
        <v>1089.8540413846154</v>
      </c>
    </row>
    <row r="70" spans="1:10" s="40" customFormat="1" ht="16">
      <c r="A70" s="89" t="s">
        <v>111</v>
      </c>
      <c r="B70" s="87" t="s">
        <v>82</v>
      </c>
      <c r="C70" s="86" t="s">
        <v>130</v>
      </c>
      <c r="D70" s="92" t="str">
        <f t="shared" si="5"/>
        <v>Mizuna|50 Winter Early</v>
      </c>
      <c r="E70" s="49">
        <v>4</v>
      </c>
      <c r="F70" s="49">
        <v>9</v>
      </c>
      <c r="G70" s="4">
        <f t="shared" si="6"/>
        <v>5</v>
      </c>
      <c r="H70" s="58">
        <v>798.76160990712071</v>
      </c>
      <c r="I70" s="45">
        <f t="shared" si="7"/>
        <v>2580</v>
      </c>
      <c r="J70" s="45">
        <f>('Fixed Costs'!$K$53*(G70/(20)))</f>
        <v>1180.6752114999999</v>
      </c>
    </row>
    <row r="71" spans="1:10" s="50" customFormat="1" ht="16">
      <c r="A71" s="90" t="s">
        <v>111</v>
      </c>
      <c r="B71" s="94" t="s">
        <v>82</v>
      </c>
      <c r="C71" s="72" t="s">
        <v>131</v>
      </c>
      <c r="D71" s="93" t="str">
        <f t="shared" si="5"/>
        <v>Mizuna|50 Winter Late</v>
      </c>
      <c r="E71" s="46">
        <v>10</v>
      </c>
      <c r="F71" s="46">
        <v>13</v>
      </c>
      <c r="G71" s="5">
        <f t="shared" si="6"/>
        <v>3</v>
      </c>
      <c r="H71" s="59">
        <v>353.25077399380802</v>
      </c>
      <c r="I71" s="67">
        <f t="shared" si="7"/>
        <v>1141</v>
      </c>
      <c r="J71" s="45">
        <f>('Fixed Costs'!$K$53*(G71/(20)))</f>
        <v>708.40512689999991</v>
      </c>
    </row>
    <row r="72" spans="1:10" s="40" customFormat="1" ht="16">
      <c r="A72" s="84" t="s">
        <v>106</v>
      </c>
      <c r="B72" s="85" t="s">
        <v>2</v>
      </c>
      <c r="C72" s="86" t="s">
        <v>130</v>
      </c>
      <c r="D72" s="91" t="str">
        <f t="shared" si="5"/>
        <v>Spinach|40 Fall Early</v>
      </c>
      <c r="E72" s="1">
        <v>39</v>
      </c>
      <c r="F72" s="1">
        <v>43</v>
      </c>
      <c r="G72" s="51">
        <f t="shared" si="6"/>
        <v>4</v>
      </c>
      <c r="H72" s="52">
        <v>37.151702786377697</v>
      </c>
      <c r="I72" s="68">
        <f t="shared" si="7"/>
        <v>119.99999999999996</v>
      </c>
      <c r="J72" s="45">
        <f>('Fixed Costs'!$K$53*(G72/(20+G72)))</f>
        <v>787.11680766666655</v>
      </c>
    </row>
    <row r="73" spans="1:10" s="40" customFormat="1" ht="16">
      <c r="A73" s="77" t="s">
        <v>106</v>
      </c>
      <c r="B73" s="87" t="s">
        <v>2</v>
      </c>
      <c r="C73" s="72" t="s">
        <v>131</v>
      </c>
      <c r="D73" s="92" t="str">
        <f t="shared" si="5"/>
        <v>Spinach|40 Fall Late</v>
      </c>
      <c r="E73" s="4">
        <v>44</v>
      </c>
      <c r="F73" s="4">
        <v>51</v>
      </c>
      <c r="G73" s="43">
        <f t="shared" si="6"/>
        <v>7</v>
      </c>
      <c r="H73" s="44">
        <v>277.08978328173373</v>
      </c>
      <c r="I73" s="45">
        <f t="shared" si="7"/>
        <v>895</v>
      </c>
      <c r="J73" s="45">
        <f>('Fixed Costs'!$K$53*(G73/(20+G73)))</f>
        <v>1224.403923037037</v>
      </c>
    </row>
    <row r="74" spans="1:10" s="40" customFormat="1" ht="16">
      <c r="A74" s="77" t="s">
        <v>106</v>
      </c>
      <c r="B74" s="87" t="s">
        <v>82</v>
      </c>
      <c r="C74" s="86" t="s">
        <v>130</v>
      </c>
      <c r="D74" s="92" t="str">
        <f t="shared" si="5"/>
        <v>Spinach|40 Winter Early</v>
      </c>
      <c r="E74" s="4">
        <v>4</v>
      </c>
      <c r="F74" s="4">
        <v>10</v>
      </c>
      <c r="G74" s="43">
        <f t="shared" si="6"/>
        <v>6</v>
      </c>
      <c r="H74" s="44">
        <v>610.52631578947364</v>
      </c>
      <c r="I74" s="45">
        <f t="shared" si="7"/>
        <v>1971.9999999999998</v>
      </c>
      <c r="J74" s="45">
        <f>('Fixed Costs'!$K$53*(G74/(20)))</f>
        <v>1416.8102537999998</v>
      </c>
    </row>
    <row r="75" spans="1:10" s="40" customFormat="1" ht="16">
      <c r="A75" s="77" t="s">
        <v>106</v>
      </c>
      <c r="B75" s="88" t="s">
        <v>82</v>
      </c>
      <c r="C75" s="72" t="s">
        <v>131</v>
      </c>
      <c r="D75" s="92" t="str">
        <f t="shared" si="5"/>
        <v>Spinach|40 Winter Late</v>
      </c>
      <c r="E75" s="4">
        <v>11</v>
      </c>
      <c r="F75" s="4">
        <v>15</v>
      </c>
      <c r="G75" s="43">
        <f t="shared" si="6"/>
        <v>4</v>
      </c>
      <c r="H75" s="44">
        <v>194.11764705882354</v>
      </c>
      <c r="I75" s="45">
        <f t="shared" si="7"/>
        <v>627</v>
      </c>
      <c r="J75" s="45">
        <f>('Fixed Costs'!$K$53*(G75/20))</f>
        <v>944.54016920000004</v>
      </c>
    </row>
    <row r="76" spans="1:10" s="40" customFormat="1" ht="16">
      <c r="A76" s="89" t="s">
        <v>107</v>
      </c>
      <c r="B76" s="87" t="s">
        <v>2</v>
      </c>
      <c r="C76" s="86" t="s">
        <v>130</v>
      </c>
      <c r="D76" s="92" t="str">
        <f t="shared" si="5"/>
        <v>Spinach|50 Fall Early</v>
      </c>
      <c r="E76" s="49">
        <v>39</v>
      </c>
      <c r="F76" s="49">
        <v>43</v>
      </c>
      <c r="G76" s="4">
        <f t="shared" si="6"/>
        <v>4</v>
      </c>
      <c r="H76" s="58">
        <v>119.19504643962848</v>
      </c>
      <c r="I76" s="45">
        <f t="shared" si="7"/>
        <v>385</v>
      </c>
      <c r="J76" s="45">
        <f>('Fixed Costs'!$K$53*(G76/(20+G76)))</f>
        <v>787.11680766666655</v>
      </c>
    </row>
    <row r="77" spans="1:10" s="40" customFormat="1" ht="16">
      <c r="A77" s="89" t="s">
        <v>107</v>
      </c>
      <c r="B77" s="87" t="s">
        <v>2</v>
      </c>
      <c r="C77" s="72" t="s">
        <v>131</v>
      </c>
      <c r="D77" s="92" t="str">
        <f t="shared" si="5"/>
        <v>Spinach|50 Fall Late</v>
      </c>
      <c r="E77" s="49">
        <v>44</v>
      </c>
      <c r="F77" s="49">
        <v>50</v>
      </c>
      <c r="G77" s="4">
        <f t="shared" si="6"/>
        <v>6</v>
      </c>
      <c r="H77" s="58">
        <v>494.73684210526318</v>
      </c>
      <c r="I77" s="45">
        <f t="shared" si="7"/>
        <v>1598</v>
      </c>
      <c r="J77" s="45">
        <f>('Fixed Costs'!$K$53*(G77/(20+G77)))</f>
        <v>1089.8540413846154</v>
      </c>
    </row>
    <row r="78" spans="1:10" s="40" customFormat="1" ht="16">
      <c r="A78" s="89" t="s">
        <v>107</v>
      </c>
      <c r="B78" s="87" t="s">
        <v>82</v>
      </c>
      <c r="C78" s="86" t="s">
        <v>130</v>
      </c>
      <c r="D78" s="92" t="str">
        <f t="shared" si="5"/>
        <v>Spinach|50 Winter Early</v>
      </c>
      <c r="E78" s="49">
        <v>4</v>
      </c>
      <c r="F78" s="49">
        <v>9</v>
      </c>
      <c r="G78" s="4">
        <f t="shared" si="6"/>
        <v>5</v>
      </c>
      <c r="H78" s="58">
        <v>830.34055727554176</v>
      </c>
      <c r="I78" s="45">
        <f t="shared" si="7"/>
        <v>2682</v>
      </c>
      <c r="J78" s="45">
        <f>('Fixed Costs'!$K$53*(G78/(20)))</f>
        <v>1180.6752114999999</v>
      </c>
    </row>
    <row r="79" spans="1:10" s="50" customFormat="1" ht="16">
      <c r="A79" s="89" t="s">
        <v>107</v>
      </c>
      <c r="B79" s="88" t="s">
        <v>82</v>
      </c>
      <c r="C79" s="72" t="s">
        <v>131</v>
      </c>
      <c r="D79" s="92" t="str">
        <f t="shared" si="5"/>
        <v>Spinach|50 Winter Late</v>
      </c>
      <c r="E79" s="49">
        <v>10</v>
      </c>
      <c r="F79" s="49">
        <v>13</v>
      </c>
      <c r="G79" s="4">
        <f t="shared" si="6"/>
        <v>3</v>
      </c>
      <c r="H79" s="58">
        <v>353.25077399380802</v>
      </c>
      <c r="I79" s="45">
        <f t="shared" si="7"/>
        <v>1141</v>
      </c>
      <c r="J79" s="45">
        <f>('Fixed Costs'!$K$53*(G79/20))</f>
        <v>708.40512689999991</v>
      </c>
    </row>
  </sheetData>
  <sheetProtection password="DB33" sheet="1" objects="1" scenarios="1"/>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theme="3" tint="0.499984740745262"/>
  </sheetPr>
  <dimension ref="A1:M60"/>
  <sheetViews>
    <sheetView showGridLines="0" showRowColHeaders="0" tabSelected="1" workbookViewId="0">
      <pane ySplit="6" topLeftCell="A7" activePane="bottomLeft" state="frozen"/>
      <selection pane="bottomLeft" activeCell="O44" sqref="O44"/>
    </sheetView>
  </sheetViews>
  <sheetFormatPr baseColWidth="10" defaultColWidth="10.83203125" defaultRowHeight="13" x14ac:dyDescent="0"/>
  <cols>
    <col min="1" max="14" width="11.33203125" style="81" customWidth="1"/>
    <col min="15" max="16384" width="10.83203125" style="81"/>
  </cols>
  <sheetData>
    <row r="1" spans="2:13" s="297" customFormat="1" ht="24" customHeight="1"/>
    <row r="2" spans="2:13" s="297" customFormat="1" ht="24" customHeight="1">
      <c r="B2" s="298" t="s">
        <v>144</v>
      </c>
    </row>
    <row r="3" spans="2:13" s="297" customFormat="1" ht="24" customHeight="1"/>
    <row r="4" spans="2:13" s="297" customFormat="1" ht="24" customHeight="1">
      <c r="D4" s="299"/>
    </row>
    <row r="5" spans="2:13" s="297" customFormat="1" ht="24" customHeight="1">
      <c r="D5" s="299"/>
    </row>
    <row r="6" spans="2:13" s="297" customFormat="1" ht="24" customHeight="1"/>
    <row r="10" spans="2:13" ht="13" customHeight="1">
      <c r="B10" s="480" t="s">
        <v>165</v>
      </c>
      <c r="C10" s="481"/>
      <c r="D10" s="481"/>
      <c r="E10" s="481"/>
      <c r="F10" s="481"/>
      <c r="G10" s="481"/>
      <c r="H10" s="481"/>
      <c r="I10" s="481"/>
      <c r="J10" s="481"/>
      <c r="K10" s="481"/>
      <c r="L10" s="481"/>
      <c r="M10" s="482"/>
    </row>
    <row r="11" spans="2:13">
      <c r="B11" s="477"/>
      <c r="C11" s="478"/>
      <c r="D11" s="478"/>
      <c r="E11" s="478"/>
      <c r="F11" s="478"/>
      <c r="G11" s="478"/>
      <c r="H11" s="478"/>
      <c r="I11" s="478"/>
      <c r="J11" s="478"/>
      <c r="K11" s="478"/>
      <c r="L11" s="478"/>
      <c r="M11" s="479"/>
    </row>
    <row r="12" spans="2:13" ht="32" customHeight="1">
      <c r="B12" s="483"/>
      <c r="C12" s="484"/>
      <c r="D12" s="484"/>
      <c r="E12" s="484"/>
      <c r="F12" s="484"/>
      <c r="G12" s="484"/>
      <c r="H12" s="484"/>
      <c r="I12" s="484"/>
      <c r="J12" s="484"/>
      <c r="K12" s="484"/>
      <c r="L12" s="484"/>
      <c r="M12" s="485"/>
    </row>
    <row r="13" spans="2:13" ht="16">
      <c r="B13" s="97"/>
      <c r="C13" s="97"/>
      <c r="D13" s="97"/>
      <c r="E13" s="97"/>
      <c r="F13" s="97"/>
      <c r="G13" s="97"/>
      <c r="H13" s="97"/>
      <c r="I13" s="97"/>
      <c r="J13" s="97"/>
      <c r="K13" s="97"/>
      <c r="L13" s="97"/>
      <c r="M13" s="97"/>
    </row>
    <row r="14" spans="2:13" ht="16">
      <c r="B14" s="97"/>
      <c r="C14" s="97"/>
      <c r="D14" s="97"/>
      <c r="E14" s="97"/>
      <c r="F14" s="97"/>
      <c r="G14" s="97"/>
      <c r="H14" s="97"/>
      <c r="I14" s="97"/>
      <c r="J14" s="97"/>
      <c r="K14" s="97"/>
      <c r="L14" s="97"/>
      <c r="M14" s="97"/>
    </row>
    <row r="15" spans="2:13" ht="16">
      <c r="B15" s="97"/>
      <c r="C15" s="97"/>
      <c r="D15" s="97"/>
      <c r="E15" s="97"/>
      <c r="F15" s="97"/>
      <c r="G15" s="97"/>
      <c r="H15" s="97"/>
      <c r="I15" s="97"/>
      <c r="J15" s="97"/>
      <c r="K15" s="97"/>
      <c r="L15" s="97"/>
      <c r="M15" s="97"/>
    </row>
    <row r="16" spans="2:13" ht="16">
      <c r="B16" s="97"/>
      <c r="C16" s="97"/>
      <c r="D16" s="97"/>
      <c r="E16" s="97"/>
      <c r="F16" s="97"/>
      <c r="G16" s="97"/>
      <c r="H16" s="97"/>
      <c r="I16" s="97"/>
      <c r="J16" s="97"/>
      <c r="K16" s="97"/>
      <c r="L16" s="97"/>
      <c r="M16" s="97"/>
    </row>
    <row r="17" spans="2:13" ht="16">
      <c r="B17" s="97"/>
      <c r="C17" s="97"/>
      <c r="D17" s="97"/>
      <c r="E17" s="97"/>
      <c r="F17" s="97"/>
      <c r="G17" s="97"/>
      <c r="H17" s="97"/>
      <c r="I17" s="97"/>
      <c r="J17" s="97"/>
      <c r="K17" s="97"/>
      <c r="L17" s="97"/>
      <c r="M17" s="97"/>
    </row>
    <row r="18" spans="2:13" ht="16">
      <c r="B18" s="97"/>
      <c r="C18" s="97"/>
      <c r="D18" s="97"/>
      <c r="E18" s="97"/>
      <c r="F18" s="97"/>
      <c r="G18" s="97"/>
      <c r="H18" s="97"/>
      <c r="I18" s="97"/>
      <c r="J18" s="97"/>
      <c r="K18" s="97"/>
      <c r="L18" s="97"/>
      <c r="M18" s="97"/>
    </row>
    <row r="19" spans="2:13" ht="76" customHeight="1">
      <c r="B19" s="97"/>
      <c r="C19" s="97"/>
      <c r="D19" s="97"/>
      <c r="E19" s="97"/>
      <c r="F19" s="97"/>
      <c r="G19" s="97"/>
      <c r="H19" s="97"/>
      <c r="I19" s="97"/>
      <c r="J19" s="97"/>
      <c r="K19" s="97"/>
      <c r="L19" s="97"/>
      <c r="M19" s="97"/>
    </row>
    <row r="20" spans="2:13" ht="16">
      <c r="B20" s="97"/>
      <c r="C20" s="97"/>
      <c r="D20" s="97"/>
      <c r="E20" s="97"/>
      <c r="F20" s="97"/>
      <c r="G20" s="97"/>
      <c r="H20" s="97"/>
      <c r="I20" s="97"/>
      <c r="J20" s="97"/>
      <c r="K20" s="97"/>
      <c r="L20" s="97"/>
      <c r="M20" s="97"/>
    </row>
    <row r="21" spans="2:13" ht="16">
      <c r="B21" s="97"/>
      <c r="C21" s="97"/>
      <c r="D21" s="97"/>
      <c r="E21" s="97"/>
      <c r="F21" s="97"/>
      <c r="G21" s="97"/>
      <c r="H21" s="97"/>
      <c r="I21" s="97"/>
      <c r="J21" s="97"/>
      <c r="K21" s="97"/>
      <c r="L21" s="97"/>
      <c r="M21" s="97"/>
    </row>
    <row r="22" spans="2:13" ht="13" customHeight="1">
      <c r="B22" s="97"/>
      <c r="C22" s="97"/>
      <c r="D22" s="97"/>
      <c r="E22" s="97"/>
      <c r="F22" s="97"/>
      <c r="G22" s="97"/>
      <c r="H22" s="97"/>
      <c r="I22" s="97"/>
      <c r="J22" s="97"/>
      <c r="K22" s="97"/>
      <c r="L22" s="97"/>
      <c r="M22" s="97"/>
    </row>
    <row r="23" spans="2:13" ht="16">
      <c r="B23" s="97"/>
      <c r="C23" s="97"/>
      <c r="D23" s="97"/>
      <c r="E23" s="97"/>
      <c r="F23" s="97"/>
      <c r="G23" s="97"/>
      <c r="H23" s="97"/>
      <c r="I23" s="97"/>
      <c r="J23" s="97"/>
      <c r="K23" s="97"/>
      <c r="L23" s="97"/>
      <c r="M23" s="97"/>
    </row>
    <row r="24" spans="2:13" ht="16">
      <c r="B24" s="97"/>
      <c r="C24" s="97"/>
      <c r="D24" s="97"/>
      <c r="E24" s="97"/>
      <c r="F24" s="97"/>
      <c r="G24" s="97"/>
      <c r="H24" s="97"/>
      <c r="I24" s="97"/>
      <c r="J24" s="97"/>
      <c r="K24" s="97"/>
      <c r="L24" s="97"/>
      <c r="M24" s="97"/>
    </row>
    <row r="25" spans="2:13" ht="16">
      <c r="B25" s="97"/>
      <c r="C25" s="97"/>
      <c r="D25" s="97"/>
      <c r="E25" s="97"/>
      <c r="F25" s="97"/>
      <c r="G25" s="97"/>
      <c r="H25" s="97"/>
      <c r="I25" s="97"/>
      <c r="J25" s="97"/>
      <c r="K25" s="97"/>
      <c r="L25" s="97"/>
      <c r="M25" s="97"/>
    </row>
    <row r="26" spans="2:13" ht="35" customHeight="1">
      <c r="B26" s="97"/>
      <c r="C26" s="97"/>
      <c r="D26" s="97"/>
      <c r="E26" s="97"/>
      <c r="F26" s="97"/>
      <c r="G26" s="97"/>
      <c r="H26" s="97"/>
      <c r="I26" s="97"/>
      <c r="J26" s="97"/>
      <c r="K26" s="97"/>
      <c r="L26" s="97"/>
      <c r="M26" s="97"/>
    </row>
    <row r="27" spans="2:13" ht="13" customHeight="1">
      <c r="B27" s="97"/>
      <c r="C27" s="97"/>
      <c r="D27" s="97"/>
      <c r="E27" s="97"/>
      <c r="F27" s="97"/>
      <c r="G27" s="97"/>
      <c r="H27" s="97"/>
      <c r="I27" s="97"/>
      <c r="J27" s="97"/>
      <c r="K27" s="97"/>
      <c r="L27" s="97"/>
      <c r="M27" s="97"/>
    </row>
    <row r="28" spans="2:13" ht="16">
      <c r="B28" s="97"/>
      <c r="C28" s="97"/>
      <c r="D28" s="97"/>
      <c r="E28" s="97"/>
      <c r="F28" s="97"/>
      <c r="G28" s="97"/>
      <c r="H28" s="97"/>
      <c r="I28" s="97"/>
      <c r="J28" s="97"/>
      <c r="K28" s="97"/>
      <c r="L28" s="97"/>
      <c r="M28" s="97"/>
    </row>
    <row r="30" spans="2:13" ht="16" customHeight="1"/>
    <row r="32" spans="2:13" ht="16" customHeight="1"/>
    <row r="34" spans="2:13" ht="16" customHeight="1">
      <c r="B34" s="212"/>
      <c r="C34" s="212"/>
      <c r="D34" s="212"/>
      <c r="E34" s="212"/>
      <c r="F34" s="212"/>
      <c r="G34" s="212"/>
      <c r="H34" s="212"/>
    </row>
    <row r="35" spans="2:13">
      <c r="B35" s="212"/>
      <c r="C35" s="212"/>
      <c r="D35" s="212"/>
      <c r="E35" s="212"/>
      <c r="F35" s="212"/>
      <c r="G35" s="212"/>
      <c r="H35" s="212"/>
    </row>
    <row r="36" spans="2:13" ht="16" customHeight="1">
      <c r="B36" s="480" t="s">
        <v>160</v>
      </c>
      <c r="C36" s="481"/>
      <c r="D36" s="481"/>
      <c r="E36" s="481"/>
      <c r="F36" s="481"/>
      <c r="G36" s="481"/>
      <c r="H36" s="481"/>
      <c r="I36" s="481"/>
      <c r="J36" s="481"/>
      <c r="K36" s="481"/>
      <c r="L36" s="481"/>
      <c r="M36" s="482"/>
    </row>
    <row r="37" spans="2:13" ht="16">
      <c r="B37" s="477"/>
      <c r="C37" s="478"/>
      <c r="D37" s="478"/>
      <c r="E37" s="478"/>
      <c r="F37" s="478"/>
      <c r="G37" s="478"/>
      <c r="H37" s="478"/>
      <c r="I37" s="478"/>
      <c r="J37" s="478"/>
      <c r="K37" s="478"/>
      <c r="L37" s="478"/>
      <c r="M37" s="479"/>
    </row>
    <row r="38" spans="2:13" ht="16">
      <c r="B38" s="477"/>
      <c r="C38" s="478"/>
      <c r="D38" s="478"/>
      <c r="E38" s="478"/>
      <c r="F38" s="478"/>
      <c r="G38" s="478"/>
      <c r="H38" s="478"/>
      <c r="I38" s="478"/>
      <c r="J38" s="478"/>
      <c r="K38" s="478"/>
      <c r="L38" s="478"/>
      <c r="M38" s="479"/>
    </row>
    <row r="39" spans="2:13" ht="13" customHeight="1">
      <c r="B39" s="477" t="s">
        <v>156</v>
      </c>
      <c r="C39" s="478"/>
      <c r="D39" s="478"/>
      <c r="E39" s="478"/>
      <c r="F39" s="478"/>
      <c r="G39" s="478"/>
      <c r="H39" s="478"/>
      <c r="I39" s="478"/>
      <c r="J39" s="478"/>
      <c r="K39" s="478"/>
      <c r="L39" s="478"/>
      <c r="M39" s="479"/>
    </row>
    <row r="40" spans="2:13" ht="13" customHeight="1">
      <c r="B40" s="213"/>
      <c r="C40" s="214"/>
      <c r="D40" s="214"/>
      <c r="E40" s="214"/>
      <c r="F40" s="214"/>
      <c r="G40" s="214"/>
      <c r="H40" s="214"/>
      <c r="I40" s="214"/>
      <c r="J40" s="214"/>
      <c r="K40" s="214"/>
      <c r="L40" s="120"/>
      <c r="M40" s="234"/>
    </row>
    <row r="41" spans="2:13" ht="13" customHeight="1">
      <c r="B41" s="477" t="s">
        <v>157</v>
      </c>
      <c r="C41" s="478"/>
      <c r="D41" s="478"/>
      <c r="E41" s="478"/>
      <c r="F41" s="478"/>
      <c r="G41" s="478"/>
      <c r="H41" s="478"/>
      <c r="I41" s="478"/>
      <c r="J41" s="478"/>
      <c r="K41" s="478"/>
      <c r="L41" s="478"/>
      <c r="M41" s="479"/>
    </row>
    <row r="42" spans="2:13" ht="16" customHeight="1">
      <c r="B42" s="213"/>
      <c r="C42" s="214"/>
      <c r="D42" s="214"/>
      <c r="E42" s="214"/>
      <c r="F42" s="214"/>
      <c r="G42" s="214"/>
      <c r="H42" s="214"/>
      <c r="I42" s="214"/>
      <c r="J42" s="214"/>
      <c r="K42" s="214"/>
      <c r="L42" s="120"/>
      <c r="M42" s="234"/>
    </row>
    <row r="43" spans="2:13" ht="13" customHeight="1">
      <c r="B43" s="477" t="s">
        <v>158</v>
      </c>
      <c r="C43" s="478"/>
      <c r="D43" s="478"/>
      <c r="E43" s="478"/>
      <c r="F43" s="478"/>
      <c r="G43" s="478"/>
      <c r="H43" s="478"/>
      <c r="I43" s="478"/>
      <c r="J43" s="478"/>
      <c r="K43" s="478"/>
      <c r="L43" s="478"/>
      <c r="M43" s="479"/>
    </row>
    <row r="44" spans="2:13" ht="16" customHeight="1">
      <c r="B44" s="213"/>
      <c r="C44" s="214"/>
      <c r="D44" s="214"/>
      <c r="E44" s="214"/>
      <c r="F44" s="214"/>
      <c r="G44" s="214"/>
      <c r="H44" s="214"/>
      <c r="I44" s="214"/>
      <c r="J44" s="214"/>
      <c r="K44" s="214"/>
      <c r="L44" s="120"/>
      <c r="M44" s="234"/>
    </row>
    <row r="45" spans="2:13" ht="13" customHeight="1">
      <c r="B45" s="477" t="s">
        <v>159</v>
      </c>
      <c r="C45" s="478"/>
      <c r="D45" s="478"/>
      <c r="E45" s="478"/>
      <c r="F45" s="478"/>
      <c r="G45" s="478"/>
      <c r="H45" s="478"/>
      <c r="I45" s="478"/>
      <c r="J45" s="478"/>
      <c r="K45" s="478"/>
      <c r="L45" s="478"/>
      <c r="M45" s="479"/>
    </row>
    <row r="46" spans="2:13" ht="16" customHeight="1">
      <c r="B46" s="213"/>
      <c r="C46" s="214"/>
      <c r="D46" s="214"/>
      <c r="E46" s="214"/>
      <c r="F46" s="214"/>
      <c r="G46" s="214"/>
      <c r="H46" s="214"/>
      <c r="I46" s="120"/>
      <c r="J46" s="120"/>
      <c r="K46" s="120"/>
      <c r="L46" s="120"/>
      <c r="M46" s="234"/>
    </row>
    <row r="47" spans="2:13" ht="13" customHeight="1">
      <c r="B47" s="466"/>
      <c r="C47" s="466"/>
      <c r="D47" s="466"/>
      <c r="E47" s="466"/>
      <c r="F47" s="466"/>
      <c r="G47" s="466"/>
      <c r="H47" s="466"/>
      <c r="I47" s="467"/>
      <c r="J47" s="467"/>
      <c r="K47" s="467"/>
      <c r="L47" s="467"/>
      <c r="M47" s="467"/>
    </row>
    <row r="48" spans="2:13" ht="16" customHeight="1"/>
    <row r="49" spans="1:9" ht="13" customHeight="1"/>
    <row r="57" spans="1:9">
      <c r="A57" s="102"/>
      <c r="B57" s="102"/>
      <c r="C57" s="102"/>
      <c r="D57" s="102"/>
      <c r="E57" s="102"/>
      <c r="F57" s="102"/>
      <c r="G57" s="102"/>
      <c r="H57" s="102"/>
      <c r="I57" s="102"/>
    </row>
    <row r="58" spans="1:9">
      <c r="A58" s="102"/>
      <c r="B58" s="465"/>
      <c r="C58" s="465"/>
      <c r="D58" s="465"/>
      <c r="E58" s="465"/>
      <c r="F58" s="465"/>
      <c r="G58" s="465"/>
      <c r="H58" s="465"/>
      <c r="I58" s="102"/>
    </row>
    <row r="59" spans="1:9">
      <c r="A59" s="102"/>
      <c r="B59" s="465"/>
      <c r="C59" s="465"/>
      <c r="D59" s="465"/>
      <c r="E59" s="465"/>
      <c r="F59" s="465"/>
      <c r="G59" s="465"/>
      <c r="H59" s="465"/>
      <c r="I59" s="102"/>
    </row>
    <row r="60" spans="1:9">
      <c r="B60" s="212"/>
      <c r="C60" s="212"/>
      <c r="D60" s="212"/>
      <c r="E60" s="212"/>
      <c r="F60" s="212"/>
      <c r="G60" s="212"/>
      <c r="H60" s="212"/>
    </row>
  </sheetData>
  <sheetProtection password="DB33" sheet="1" objects="1" scenarios="1"/>
  <mergeCells count="6">
    <mergeCell ref="B43:M43"/>
    <mergeCell ref="B45:M45"/>
    <mergeCell ref="B10:M12"/>
    <mergeCell ref="B36:M38"/>
    <mergeCell ref="B39:M39"/>
    <mergeCell ref="B41:M41"/>
  </mergeCells>
  <phoneticPr fontId="25" type="noConversion"/>
  <pageMargins left="0.75" right="0.75" top="1" bottom="1" header="0.5" footer="0.5"/>
  <pageSetup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030" r:id="rId3" name="Button 6">
              <controlPr defaultSize="0" print="0" autoFill="0" autoPict="0" macro="[0]!Credits">
                <anchor moveWithCells="1" sizeWithCells="1">
                  <from>
                    <xdr:col>0</xdr:col>
                    <xdr:colOff>-1549400</xdr:colOff>
                    <xdr:row>0</xdr:row>
                    <xdr:rowOff>-228600</xdr:rowOff>
                  </from>
                  <to>
                    <xdr:col>0</xdr:col>
                    <xdr:colOff>12700</xdr:colOff>
                    <xdr:row>0</xdr:row>
                    <xdr:rowOff>292100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8"/>
  </sheetPr>
  <dimension ref="B1:M50"/>
  <sheetViews>
    <sheetView workbookViewId="0">
      <pane ySplit="6" topLeftCell="A7" activePane="bottomLeft" state="frozen"/>
      <selection pane="bottomLeft" activeCell="E21" sqref="E21"/>
    </sheetView>
  </sheetViews>
  <sheetFormatPr baseColWidth="10" defaultColWidth="10.83203125" defaultRowHeight="13" x14ac:dyDescent="0"/>
  <cols>
    <col min="1" max="1" width="10.83203125" style="297"/>
    <col min="2" max="2" width="10.83203125" style="297" customWidth="1"/>
    <col min="3" max="6" width="10.83203125" style="297"/>
    <col min="7" max="8" width="10.83203125" style="297" customWidth="1"/>
    <col min="9" max="16384" width="10.83203125" style="297"/>
  </cols>
  <sheetData>
    <row r="1" spans="2:13" ht="24" customHeight="1"/>
    <row r="2" spans="2:13" ht="24" customHeight="1">
      <c r="B2" s="298" t="s">
        <v>144</v>
      </c>
    </row>
    <row r="3" spans="2:13" ht="24" customHeight="1"/>
    <row r="4" spans="2:13" ht="24" customHeight="1">
      <c r="B4" s="299"/>
    </row>
    <row r="5" spans="2:13" ht="24" customHeight="1">
      <c r="B5" s="299"/>
    </row>
    <row r="6" spans="2:13" ht="24" customHeight="1"/>
    <row r="7" spans="2:13" s="300" customFormat="1" ht="22" customHeight="1">
      <c r="C7" s="301"/>
      <c r="D7" s="302"/>
      <c r="E7" s="303"/>
      <c r="F7" s="493"/>
      <c r="G7" s="493"/>
      <c r="H7" s="302"/>
    </row>
    <row r="8" spans="2:13" s="300" customFormat="1" ht="22" customHeight="1">
      <c r="B8" s="497" t="s">
        <v>155</v>
      </c>
      <c r="C8" s="498"/>
      <c r="D8" s="498"/>
      <c r="E8" s="498"/>
      <c r="F8" s="498"/>
      <c r="G8" s="498"/>
      <c r="H8" s="498"/>
      <c r="I8" s="498"/>
      <c r="J8" s="498"/>
      <c r="K8" s="498"/>
      <c r="L8" s="498"/>
      <c r="M8" s="499"/>
    </row>
    <row r="9" spans="2:13" s="300" customFormat="1" ht="22" customHeight="1">
      <c r="B9" s="500"/>
      <c r="C9" s="491"/>
      <c r="D9" s="491"/>
      <c r="E9" s="491"/>
      <c r="F9" s="491"/>
      <c r="G9" s="491"/>
      <c r="H9" s="491"/>
      <c r="I9" s="491"/>
      <c r="J9" s="491"/>
      <c r="K9" s="491"/>
      <c r="L9" s="491"/>
      <c r="M9" s="501"/>
    </row>
    <row r="10" spans="2:13" s="300" customFormat="1" ht="22" customHeight="1">
      <c r="B10" s="500"/>
      <c r="C10" s="491"/>
      <c r="D10" s="491"/>
      <c r="E10" s="491"/>
      <c r="F10" s="491"/>
      <c r="G10" s="491"/>
      <c r="H10" s="491"/>
      <c r="I10" s="491"/>
      <c r="J10" s="491"/>
      <c r="K10" s="491"/>
      <c r="L10" s="491"/>
      <c r="M10" s="501"/>
    </row>
    <row r="11" spans="2:13" s="300" customFormat="1" ht="22" customHeight="1">
      <c r="B11" s="500"/>
      <c r="C11" s="491"/>
      <c r="D11" s="491"/>
      <c r="E11" s="491"/>
      <c r="F11" s="491"/>
      <c r="G11" s="491"/>
      <c r="H11" s="491"/>
      <c r="I11" s="491"/>
      <c r="J11" s="491"/>
      <c r="K11" s="491"/>
      <c r="L11" s="491"/>
      <c r="M11" s="501"/>
    </row>
    <row r="12" spans="2:13" s="300" customFormat="1" ht="22" customHeight="1">
      <c r="B12" s="500"/>
      <c r="C12" s="491"/>
      <c r="D12" s="491"/>
      <c r="E12" s="491"/>
      <c r="F12" s="491"/>
      <c r="G12" s="491"/>
      <c r="H12" s="491"/>
      <c r="I12" s="491"/>
      <c r="J12" s="491"/>
      <c r="K12" s="491"/>
      <c r="L12" s="491"/>
      <c r="M12" s="501"/>
    </row>
    <row r="13" spans="2:13" s="304" customFormat="1" ht="18" customHeight="1">
      <c r="B13" s="502"/>
      <c r="C13" s="503"/>
      <c r="D13" s="503"/>
      <c r="E13" s="503"/>
      <c r="F13" s="503"/>
      <c r="G13" s="503"/>
      <c r="H13" s="503"/>
      <c r="I13" s="503"/>
      <c r="J13" s="503"/>
      <c r="K13" s="503"/>
      <c r="L13" s="503"/>
      <c r="M13" s="504"/>
    </row>
    <row r="14" spans="2:13" s="304" customFormat="1" ht="17" thickBot="1"/>
    <row r="15" spans="2:13" s="304" customFormat="1" ht="47" customHeight="1" thickBot="1">
      <c r="B15" s="494" t="s">
        <v>167</v>
      </c>
      <c r="C15" s="495"/>
      <c r="D15" s="495"/>
      <c r="E15" s="495"/>
      <c r="F15" s="495"/>
      <c r="G15" s="495"/>
      <c r="H15" s="495"/>
      <c r="I15" s="495"/>
      <c r="J15" s="495"/>
      <c r="K15" s="495"/>
      <c r="L15" s="495"/>
      <c r="M15" s="496"/>
    </row>
    <row r="16" spans="2:13" s="304" customFormat="1" ht="17" thickBot="1"/>
    <row r="17" spans="2:13" s="304" customFormat="1" ht="16">
      <c r="D17" s="305"/>
      <c r="E17" s="306"/>
      <c r="F17" s="307"/>
      <c r="I17" s="357"/>
      <c r="J17" s="360"/>
      <c r="K17" s="361"/>
    </row>
    <row r="18" spans="2:13" s="304" customFormat="1" ht="18">
      <c r="D18" s="308"/>
      <c r="E18" s="486" t="s">
        <v>105</v>
      </c>
      <c r="F18" s="309"/>
      <c r="G18" s="316" t="s">
        <v>103</v>
      </c>
      <c r="I18" s="346"/>
      <c r="J18" s="310" t="s">
        <v>141</v>
      </c>
      <c r="K18" s="344"/>
      <c r="L18" s="317" t="s">
        <v>104</v>
      </c>
    </row>
    <row r="19" spans="2:13" s="304" customFormat="1" ht="18">
      <c r="D19" s="308"/>
      <c r="E19" s="486"/>
      <c r="F19" s="309"/>
      <c r="G19" s="318" t="s">
        <v>100</v>
      </c>
      <c r="I19" s="346"/>
      <c r="J19" s="311" t="s">
        <v>142</v>
      </c>
      <c r="K19" s="344"/>
      <c r="L19" s="317">
        <v>40</v>
      </c>
    </row>
    <row r="20" spans="2:13" s="304" customFormat="1" ht="16">
      <c r="D20" s="308"/>
      <c r="E20" s="312"/>
      <c r="F20" s="309"/>
      <c r="G20" s="318" t="s">
        <v>101</v>
      </c>
      <c r="I20" s="346"/>
      <c r="J20" s="312"/>
      <c r="K20" s="344"/>
      <c r="L20" s="317">
        <v>50</v>
      </c>
    </row>
    <row r="21" spans="2:13" s="304" customFormat="1" ht="18">
      <c r="D21" s="308"/>
      <c r="E21" s="320" t="s">
        <v>102</v>
      </c>
      <c r="F21" s="309"/>
      <c r="G21" s="318" t="s">
        <v>102</v>
      </c>
      <c r="I21" s="346"/>
      <c r="J21" s="319">
        <v>50</v>
      </c>
      <c r="K21" s="344"/>
    </row>
    <row r="22" spans="2:13" s="304" customFormat="1" ht="17" thickBot="1">
      <c r="D22" s="313"/>
      <c r="E22" s="314"/>
      <c r="F22" s="315"/>
      <c r="I22" s="350"/>
      <c r="J22" s="353"/>
      <c r="K22" s="354"/>
    </row>
    <row r="23" spans="2:13" s="304" customFormat="1" ht="17" thickBot="1"/>
    <row r="24" spans="2:13" s="304" customFormat="1" ht="16">
      <c r="B24" s="487" t="s">
        <v>168</v>
      </c>
      <c r="C24" s="488"/>
      <c r="D24" s="488"/>
      <c r="E24" s="488"/>
      <c r="F24" s="488"/>
      <c r="G24" s="488"/>
      <c r="H24" s="488"/>
      <c r="I24" s="488"/>
      <c r="J24" s="488"/>
      <c r="K24" s="488"/>
      <c r="L24" s="488"/>
      <c r="M24" s="489"/>
    </row>
    <row r="25" spans="2:13" s="304" customFormat="1" ht="16" customHeight="1">
      <c r="B25" s="490"/>
      <c r="C25" s="491"/>
      <c r="D25" s="491"/>
      <c r="E25" s="491"/>
      <c r="F25" s="491"/>
      <c r="G25" s="491"/>
      <c r="H25" s="491"/>
      <c r="I25" s="491"/>
      <c r="J25" s="491"/>
      <c r="K25" s="491"/>
      <c r="L25" s="491"/>
      <c r="M25" s="492"/>
    </row>
    <row r="26" spans="2:13" s="304" customFormat="1" ht="16">
      <c r="B26" s="490"/>
      <c r="C26" s="491"/>
      <c r="D26" s="491"/>
      <c r="E26" s="491"/>
      <c r="F26" s="491"/>
      <c r="G26" s="491"/>
      <c r="H26" s="491"/>
      <c r="I26" s="491"/>
      <c r="J26" s="491"/>
      <c r="K26" s="491"/>
      <c r="L26" s="491"/>
      <c r="M26" s="492"/>
    </row>
    <row r="27" spans="2:13" s="304" customFormat="1" ht="16">
      <c r="B27" s="308"/>
      <c r="C27" s="312"/>
      <c r="D27" s="312"/>
      <c r="E27" s="312"/>
      <c r="F27" s="312"/>
      <c r="G27" s="312"/>
      <c r="H27" s="312"/>
      <c r="I27" s="312"/>
      <c r="J27" s="312"/>
      <c r="K27" s="312"/>
      <c r="L27" s="312"/>
      <c r="M27" s="309"/>
    </row>
    <row r="28" spans="2:13" s="304" customFormat="1" ht="16">
      <c r="B28" s="308"/>
      <c r="C28" s="312"/>
      <c r="D28" s="312"/>
      <c r="E28" s="312"/>
      <c r="F28" s="312"/>
      <c r="G28" s="312"/>
      <c r="H28" s="312"/>
      <c r="I28" s="312"/>
      <c r="J28" s="312"/>
      <c r="K28" s="312"/>
      <c r="L28" s="312"/>
      <c r="M28" s="309"/>
    </row>
    <row r="29" spans="2:13" s="304" customFormat="1" ht="16">
      <c r="B29" s="308"/>
      <c r="C29" s="312"/>
      <c r="D29" s="312"/>
      <c r="E29" s="312"/>
      <c r="F29" s="312"/>
      <c r="G29" s="312"/>
      <c r="H29" s="312"/>
      <c r="I29" s="312"/>
      <c r="J29" s="312"/>
      <c r="K29" s="312"/>
      <c r="L29" s="312"/>
      <c r="M29" s="309"/>
    </row>
    <row r="30" spans="2:13" s="304" customFormat="1" ht="16">
      <c r="B30" s="308"/>
      <c r="C30" s="312"/>
      <c r="D30" s="312"/>
      <c r="E30" s="312"/>
      <c r="F30" s="312"/>
      <c r="G30" s="312"/>
      <c r="H30" s="312"/>
      <c r="I30" s="312"/>
      <c r="J30" s="312"/>
      <c r="K30" s="312"/>
      <c r="L30" s="312"/>
      <c r="M30" s="309"/>
    </row>
    <row r="31" spans="2:13" s="304" customFormat="1" ht="16" customHeight="1">
      <c r="B31" s="308"/>
      <c r="C31" s="312"/>
      <c r="D31" s="312"/>
      <c r="E31" s="312"/>
      <c r="F31" s="312"/>
      <c r="G31" s="312"/>
      <c r="H31" s="312"/>
      <c r="I31" s="312"/>
      <c r="J31" s="312"/>
      <c r="K31" s="312"/>
      <c r="L31" s="312"/>
      <c r="M31" s="309"/>
    </row>
    <row r="32" spans="2:13" s="304" customFormat="1" ht="16">
      <c r="B32" s="308"/>
      <c r="C32" s="312"/>
      <c r="D32" s="312"/>
      <c r="E32" s="312"/>
      <c r="F32" s="312"/>
      <c r="G32" s="312"/>
      <c r="H32" s="312"/>
      <c r="I32" s="312"/>
      <c r="J32" s="312"/>
      <c r="K32" s="312"/>
      <c r="L32" s="312"/>
      <c r="M32" s="309"/>
    </row>
    <row r="33" spans="2:13" s="304" customFormat="1" ht="16">
      <c r="B33" s="308"/>
      <c r="C33" s="312"/>
      <c r="D33" s="312"/>
      <c r="E33" s="312"/>
      <c r="F33" s="312"/>
      <c r="G33" s="312"/>
      <c r="H33" s="312"/>
      <c r="I33" s="312"/>
      <c r="J33" s="312"/>
      <c r="K33" s="312"/>
      <c r="L33" s="312"/>
      <c r="M33" s="309"/>
    </row>
    <row r="34" spans="2:13" s="304" customFormat="1" ht="16">
      <c r="B34" s="308"/>
      <c r="C34" s="312"/>
      <c r="D34" s="312"/>
      <c r="E34" s="312"/>
      <c r="F34" s="312"/>
      <c r="G34" s="312"/>
      <c r="H34" s="312"/>
      <c r="I34" s="312"/>
      <c r="J34" s="312"/>
      <c r="K34" s="312"/>
      <c r="L34" s="312"/>
      <c r="M34" s="309"/>
    </row>
    <row r="35" spans="2:13" s="304" customFormat="1" ht="16">
      <c r="B35" s="308"/>
      <c r="C35" s="312"/>
      <c r="D35" s="312"/>
      <c r="E35" s="312"/>
      <c r="F35" s="312"/>
      <c r="G35" s="312"/>
      <c r="H35" s="312"/>
      <c r="I35" s="312"/>
      <c r="J35" s="312"/>
      <c r="K35" s="312"/>
      <c r="L35" s="312"/>
      <c r="M35" s="309"/>
    </row>
    <row r="36" spans="2:13" s="304" customFormat="1" ht="16">
      <c r="B36" s="308"/>
      <c r="C36" s="312"/>
      <c r="D36" s="312"/>
      <c r="E36" s="312"/>
      <c r="F36" s="312"/>
      <c r="G36" s="312"/>
      <c r="H36" s="312"/>
      <c r="I36" s="312"/>
      <c r="J36" s="312"/>
      <c r="K36" s="312"/>
      <c r="L36" s="312"/>
      <c r="M36" s="309"/>
    </row>
    <row r="37" spans="2:13" s="304" customFormat="1" ht="16">
      <c r="B37" s="308"/>
      <c r="C37" s="312"/>
      <c r="D37" s="312"/>
      <c r="E37" s="312"/>
      <c r="F37" s="312"/>
      <c r="G37" s="312"/>
      <c r="H37" s="312"/>
      <c r="I37" s="312"/>
      <c r="J37" s="312"/>
      <c r="K37" s="312"/>
      <c r="L37" s="312"/>
      <c r="M37" s="309"/>
    </row>
    <row r="38" spans="2:13" s="304" customFormat="1" ht="16">
      <c r="B38" s="308"/>
      <c r="C38" s="312"/>
      <c r="D38" s="312"/>
      <c r="E38" s="312"/>
      <c r="F38" s="312"/>
      <c r="G38" s="312"/>
      <c r="H38" s="312"/>
      <c r="I38" s="312"/>
      <c r="J38" s="312"/>
      <c r="K38" s="312"/>
      <c r="L38" s="312"/>
      <c r="M38" s="309"/>
    </row>
    <row r="39" spans="2:13" s="304" customFormat="1" ht="16">
      <c r="B39" s="308"/>
      <c r="C39" s="312"/>
      <c r="D39" s="312"/>
      <c r="E39" s="312"/>
      <c r="F39" s="312"/>
      <c r="G39" s="312"/>
      <c r="H39" s="312"/>
      <c r="I39" s="312"/>
      <c r="J39" s="312"/>
      <c r="K39" s="312"/>
      <c r="L39" s="312"/>
      <c r="M39" s="309"/>
    </row>
    <row r="40" spans="2:13" s="304" customFormat="1" ht="17" thickBot="1">
      <c r="B40" s="313"/>
      <c r="C40" s="314"/>
      <c r="D40" s="314"/>
      <c r="E40" s="314"/>
      <c r="F40" s="314"/>
      <c r="G40" s="314"/>
      <c r="H40" s="314"/>
      <c r="I40" s="314"/>
      <c r="J40" s="314"/>
      <c r="K40" s="314"/>
      <c r="L40" s="314"/>
      <c r="M40" s="315"/>
    </row>
    <row r="41" spans="2:13" s="304" customFormat="1" ht="16"/>
    <row r="42" spans="2:13" s="304" customFormat="1" ht="16"/>
    <row r="43" spans="2:13" s="304" customFormat="1" ht="16"/>
    <row r="44" spans="2:13" s="304" customFormat="1" ht="16">
      <c r="B44" s="297"/>
      <c r="C44" s="297"/>
      <c r="D44" s="297"/>
      <c r="E44" s="297"/>
      <c r="F44" s="297"/>
      <c r="G44" s="297"/>
      <c r="H44" s="297"/>
      <c r="I44" s="297"/>
      <c r="J44" s="297"/>
      <c r="K44" s="297"/>
      <c r="L44" s="297"/>
      <c r="M44" s="297"/>
    </row>
    <row r="45" spans="2:13" s="304" customFormat="1" ht="16">
      <c r="B45" s="297"/>
      <c r="C45" s="297"/>
      <c r="D45" s="297"/>
      <c r="E45" s="297"/>
      <c r="F45" s="297"/>
      <c r="G45" s="297"/>
      <c r="H45" s="297"/>
      <c r="I45" s="297"/>
      <c r="J45" s="297"/>
      <c r="K45" s="297"/>
      <c r="L45" s="297"/>
      <c r="M45" s="297"/>
    </row>
    <row r="46" spans="2:13" s="304" customFormat="1" ht="16">
      <c r="B46" s="297"/>
      <c r="C46" s="297"/>
      <c r="D46" s="297"/>
      <c r="E46" s="297"/>
      <c r="F46" s="297"/>
      <c r="G46" s="297"/>
      <c r="H46" s="297"/>
      <c r="I46" s="297"/>
      <c r="J46" s="297"/>
      <c r="K46" s="297"/>
      <c r="L46" s="297"/>
      <c r="M46" s="297"/>
    </row>
    <row r="47" spans="2:13" s="304" customFormat="1" ht="16">
      <c r="B47" s="297"/>
      <c r="C47" s="297"/>
      <c r="D47" s="297"/>
      <c r="E47" s="297"/>
      <c r="F47" s="297"/>
      <c r="G47" s="297"/>
      <c r="H47" s="297"/>
      <c r="I47" s="297"/>
      <c r="J47" s="297"/>
      <c r="K47" s="297"/>
      <c r="L47" s="297"/>
      <c r="M47" s="297"/>
    </row>
    <row r="48" spans="2:13" s="304" customFormat="1" ht="16">
      <c r="B48" s="297"/>
      <c r="C48" s="297"/>
      <c r="D48" s="297"/>
      <c r="E48" s="297"/>
      <c r="F48" s="297"/>
      <c r="G48" s="297"/>
      <c r="H48" s="297"/>
      <c r="I48" s="297"/>
      <c r="J48" s="297"/>
      <c r="K48" s="297"/>
      <c r="L48" s="297"/>
      <c r="M48" s="297"/>
    </row>
    <row r="49" spans="2:13" s="304" customFormat="1" ht="16">
      <c r="B49" s="297"/>
      <c r="C49" s="297"/>
      <c r="D49" s="297"/>
      <c r="E49" s="297"/>
      <c r="F49" s="297"/>
      <c r="G49" s="297"/>
      <c r="H49" s="297"/>
      <c r="I49" s="297"/>
      <c r="J49" s="297"/>
      <c r="K49" s="297"/>
      <c r="L49" s="297"/>
      <c r="M49" s="297"/>
    </row>
    <row r="50" spans="2:13" s="304" customFormat="1" ht="16">
      <c r="B50" s="297"/>
      <c r="C50" s="297"/>
      <c r="D50" s="297"/>
      <c r="E50" s="297"/>
      <c r="F50" s="297"/>
      <c r="G50" s="297"/>
      <c r="H50" s="297"/>
      <c r="I50" s="297"/>
      <c r="J50" s="297"/>
      <c r="K50" s="297"/>
      <c r="L50" s="297"/>
      <c r="M50" s="297"/>
    </row>
  </sheetData>
  <sheetProtection password="DB33" sheet="1" objects="1" scenarios="1"/>
  <mergeCells count="5">
    <mergeCell ref="E18:E19"/>
    <mergeCell ref="B24:M26"/>
    <mergeCell ref="F7:G7"/>
    <mergeCell ref="B15:M15"/>
    <mergeCell ref="B8:M13"/>
  </mergeCells>
  <dataValidations count="2">
    <dataValidation type="list" allowBlank="1" showInputMessage="1" showErrorMessage="1" sqref="E21">
      <formula1>$G$19:$G$21</formula1>
    </dataValidation>
    <dataValidation type="list" allowBlank="1" showInputMessage="1" showErrorMessage="1" promptTitle="Greenhouse temperature" sqref="J21">
      <formula1>$L$19:$L$20</formula1>
    </dataValidation>
  </dataValidation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8"/>
  </sheetPr>
  <dimension ref="B1:M62"/>
  <sheetViews>
    <sheetView workbookViewId="0">
      <pane ySplit="8" topLeftCell="A9" activePane="bottomLeft" state="frozen"/>
      <selection pane="bottomLeft" activeCell="C18" sqref="C18"/>
    </sheetView>
  </sheetViews>
  <sheetFormatPr baseColWidth="10" defaultColWidth="10.83203125" defaultRowHeight="13" x14ac:dyDescent="0"/>
  <cols>
    <col min="1" max="1" width="10.83203125" style="81"/>
    <col min="2" max="2" width="15.83203125" style="81" customWidth="1"/>
    <col min="3" max="3" width="16.5" style="81" customWidth="1"/>
    <col min="4" max="5" width="15.83203125" style="81" customWidth="1"/>
    <col min="6" max="6" width="19" style="81" customWidth="1"/>
    <col min="7" max="9" width="15.83203125" style="81" customWidth="1"/>
    <col min="10" max="10" width="10.5" style="81" bestFit="1" customWidth="1"/>
    <col min="11" max="16384" width="10.83203125" style="81"/>
  </cols>
  <sheetData>
    <row r="1" spans="2:10" ht="22" customHeight="1"/>
    <row r="2" spans="2:10" ht="22" customHeight="1">
      <c r="B2" s="189" t="s">
        <v>144</v>
      </c>
    </row>
    <row r="3" spans="2:10" ht="22" customHeight="1"/>
    <row r="4" spans="2:10" ht="22" customHeight="1">
      <c r="B4" s="65"/>
    </row>
    <row r="5" spans="2:10" ht="22" customHeight="1">
      <c r="B5" s="65"/>
    </row>
    <row r="6" spans="2:10" ht="22" customHeight="1"/>
    <row r="7" spans="2:10" s="161" customFormat="1" ht="22" customHeight="1">
      <c r="C7" s="296" t="s">
        <v>99</v>
      </c>
      <c r="D7" s="215" t="str">
        <f>'Crop List'!E21</f>
        <v>Mizuna</v>
      </c>
      <c r="E7" s="162"/>
      <c r="F7" s="505" t="s">
        <v>137</v>
      </c>
      <c r="G7" s="506"/>
      <c r="H7" s="216">
        <f>'Crop List'!J21</f>
        <v>50</v>
      </c>
    </row>
    <row r="8" spans="2:10" s="163" customFormat="1" ht="22" customHeight="1" thickBot="1"/>
    <row r="9" spans="2:10" s="95" customFormat="1"/>
    <row r="10" spans="2:10" s="96" customFormat="1" ht="24" customHeight="1">
      <c r="B10" s="217"/>
      <c r="C10" s="218"/>
      <c r="D10" s="219"/>
      <c r="E10" s="219"/>
      <c r="F10" s="219"/>
      <c r="G10" s="219"/>
      <c r="H10" s="219"/>
      <c r="I10" s="220"/>
    </row>
    <row r="11" spans="2:10" s="98" customFormat="1" ht="38" customHeight="1">
      <c r="B11" s="510" t="s">
        <v>95</v>
      </c>
      <c r="C11" s="511"/>
      <c r="D11" s="116" t="s">
        <v>132</v>
      </c>
      <c r="E11" s="116" t="s">
        <v>133</v>
      </c>
      <c r="F11" s="116" t="s">
        <v>96</v>
      </c>
      <c r="G11" s="118" t="s">
        <v>97</v>
      </c>
      <c r="H11" s="116" t="s">
        <v>143</v>
      </c>
      <c r="I11" s="221"/>
    </row>
    <row r="12" spans="2:10" s="98" customFormat="1" ht="16">
      <c r="B12" s="222"/>
      <c r="C12" s="115"/>
      <c r="D12" s="121">
        <f>'Fixed Costs'!C13</f>
        <v>96</v>
      </c>
      <c r="E12" s="121">
        <f>'Fixed Costs'!D13</f>
        <v>30</v>
      </c>
      <c r="F12" s="207">
        <f>D12*E12</f>
        <v>2880</v>
      </c>
      <c r="G12" s="117">
        <f>'Fixed Costs'!F13</f>
        <v>0.8</v>
      </c>
      <c r="H12" s="207">
        <f>F12*G12</f>
        <v>2304</v>
      </c>
      <c r="I12" s="221"/>
    </row>
    <row r="13" spans="2:10" s="98" customFormat="1" ht="16">
      <c r="B13" s="223"/>
      <c r="C13" s="224"/>
      <c r="D13" s="224"/>
      <c r="E13" s="225"/>
      <c r="F13" s="224"/>
      <c r="G13" s="226"/>
      <c r="H13" s="226"/>
      <c r="I13" s="227"/>
    </row>
    <row r="14" spans="2:10" s="98" customFormat="1" ht="16">
      <c r="C14" s="104"/>
      <c r="D14" s="104"/>
      <c r="E14" s="105"/>
      <c r="F14" s="104"/>
    </row>
    <row r="15" spans="2:10" s="97" customFormat="1" ht="16">
      <c r="B15" s="228"/>
      <c r="C15" s="229"/>
      <c r="D15" s="229"/>
      <c r="E15" s="230"/>
      <c r="F15" s="231"/>
      <c r="G15" s="229"/>
      <c r="H15" s="232"/>
      <c r="I15" s="233"/>
      <c r="J15" s="98"/>
    </row>
    <row r="16" spans="2:10" s="97" customFormat="1" ht="48" customHeight="1">
      <c r="B16" s="510" t="s">
        <v>161</v>
      </c>
      <c r="C16" s="511"/>
      <c r="D16" s="511"/>
      <c r="E16" s="511"/>
      <c r="F16" s="511"/>
      <c r="G16" s="511"/>
      <c r="H16" s="511"/>
      <c r="I16" s="512"/>
    </row>
    <row r="17" spans="2:13" s="102" customFormat="1" ht="49" customHeight="1">
      <c r="B17" s="294"/>
      <c r="C17" s="121" t="s">
        <v>136</v>
      </c>
      <c r="D17" s="120"/>
      <c r="E17" s="116" t="s">
        <v>68</v>
      </c>
      <c r="F17" s="239" t="s">
        <v>162</v>
      </c>
      <c r="G17" s="239" t="s">
        <v>163</v>
      </c>
      <c r="H17" s="118" t="s">
        <v>7</v>
      </c>
      <c r="I17" s="234"/>
      <c r="J17" s="97"/>
    </row>
    <row r="18" spans="2:13" s="102" customFormat="1" ht="16">
      <c r="B18" s="294"/>
      <c r="C18" s="326">
        <v>10</v>
      </c>
      <c r="D18" s="120"/>
      <c r="E18" s="115" t="s">
        <v>150</v>
      </c>
      <c r="F18" s="121">
        <f>VLOOKUP(K18,Calculations!$E$28:$F$51, 2)</f>
        <v>0.14000000000000001</v>
      </c>
      <c r="G18" s="146">
        <f>F18*$H$12</f>
        <v>322.56000000000006</v>
      </c>
      <c r="H18" s="145">
        <f>G18*$C$18</f>
        <v>3225.6000000000004</v>
      </c>
      <c r="I18" s="234"/>
      <c r="J18" s="321" t="s">
        <v>75</v>
      </c>
      <c r="K18" s="322" t="str">
        <f>$D$7&amp;"|"&amp;$H$7&amp;"|"&amp;J18</f>
        <v>Mizuna|50|Fall Early</v>
      </c>
      <c r="L18" s="190"/>
    </row>
    <row r="19" spans="2:13" s="102" customFormat="1" ht="16">
      <c r="B19" s="294"/>
      <c r="C19" s="120"/>
      <c r="D19" s="120"/>
      <c r="E19" s="115" t="s">
        <v>151</v>
      </c>
      <c r="F19" s="121">
        <f>VLOOKUP(K19,Calculations!$E$28:$F$51, 2)</f>
        <v>0.19</v>
      </c>
      <c r="G19" s="146">
        <f>F19*$H$12</f>
        <v>437.76</v>
      </c>
      <c r="H19" s="145">
        <f>G19*$C$18</f>
        <v>4377.6000000000004</v>
      </c>
      <c r="I19" s="234"/>
      <c r="J19" s="322" t="s">
        <v>76</v>
      </c>
      <c r="K19" s="322" t="str">
        <f>$D$7&amp;"|"&amp;$H$7&amp;"|"&amp;J19</f>
        <v>Mizuna|50|Fall Late</v>
      </c>
      <c r="L19" s="190"/>
    </row>
    <row r="20" spans="2:13" s="102" customFormat="1" ht="16">
      <c r="B20" s="294"/>
      <c r="C20" s="120"/>
      <c r="D20" s="120"/>
      <c r="E20" s="115" t="s">
        <v>152</v>
      </c>
      <c r="F20" s="121">
        <f>VLOOKUP(K20,Calculations!$E$28:$F$51, 2)</f>
        <v>0.09</v>
      </c>
      <c r="G20" s="146">
        <f>F20*$H$12</f>
        <v>207.35999999999999</v>
      </c>
      <c r="H20" s="145">
        <f>G20*$C$18</f>
        <v>2073.6</v>
      </c>
      <c r="I20" s="234"/>
      <c r="J20" s="322" t="s">
        <v>134</v>
      </c>
      <c r="K20" s="322" t="str">
        <f>$D$7&amp;"|"&amp;$H$7&amp;"|"&amp;J20</f>
        <v>Mizuna|50|Spring Early</v>
      </c>
      <c r="L20" s="190"/>
    </row>
    <row r="21" spans="2:13" s="98" customFormat="1" ht="16">
      <c r="B21" s="235"/>
      <c r="C21" s="121"/>
      <c r="D21" s="295"/>
      <c r="E21" s="115" t="s">
        <v>153</v>
      </c>
      <c r="F21" s="121">
        <f>VLOOKUP(K21,Calculations!$E$28:$F$51, 2)</f>
        <v>0.14000000000000001</v>
      </c>
      <c r="G21" s="146">
        <f>F21*$H$12</f>
        <v>322.56000000000006</v>
      </c>
      <c r="H21" s="145">
        <f>G21*$C$18</f>
        <v>3225.6000000000004</v>
      </c>
      <c r="I21" s="221"/>
      <c r="J21" s="322" t="s">
        <v>135</v>
      </c>
      <c r="K21" s="322" t="str">
        <f>$D$7&amp;"|"&amp;$H$7&amp;"|"&amp;J21</f>
        <v>Mizuna|50|Spring Late</v>
      </c>
      <c r="L21" s="323"/>
    </row>
    <row r="22" spans="2:13" s="98" customFormat="1" ht="16">
      <c r="B22" s="236"/>
      <c r="C22" s="237"/>
      <c r="D22" s="226"/>
      <c r="E22" s="226"/>
      <c r="F22" s="237"/>
      <c r="G22" s="237"/>
      <c r="H22" s="237"/>
      <c r="I22" s="238"/>
      <c r="J22" s="102"/>
    </row>
    <row r="23" spans="2:13" s="99" customFormat="1" ht="16">
      <c r="B23" s="102"/>
      <c r="C23" s="102"/>
      <c r="D23" s="97"/>
      <c r="E23" s="102"/>
      <c r="F23" s="102"/>
      <c r="G23" s="102"/>
      <c r="H23" s="102"/>
      <c r="I23" s="98"/>
      <c r="J23" s="98"/>
    </row>
    <row r="24" spans="2:13" s="99" customFormat="1" ht="16">
      <c r="B24" s="240"/>
      <c r="C24" s="241"/>
      <c r="D24" s="230"/>
      <c r="E24" s="241"/>
      <c r="F24" s="241"/>
      <c r="G24" s="241"/>
      <c r="H24" s="241"/>
      <c r="I24" s="233"/>
      <c r="J24" s="98"/>
    </row>
    <row r="25" spans="2:13" s="99" customFormat="1" ht="16">
      <c r="B25" s="242" t="s">
        <v>10</v>
      </c>
      <c r="C25" s="115"/>
      <c r="D25" s="115"/>
      <c r="E25" s="121"/>
      <c r="F25" s="122"/>
      <c r="G25" s="123"/>
      <c r="H25" s="124"/>
      <c r="I25" s="221"/>
      <c r="J25" s="98"/>
    </row>
    <row r="26" spans="2:13" s="98" customFormat="1" ht="28" customHeight="1">
      <c r="B26" s="222"/>
      <c r="C26" s="125" t="s">
        <v>89</v>
      </c>
      <c r="D26" s="125" t="s">
        <v>90</v>
      </c>
      <c r="E26" s="116" t="s">
        <v>88</v>
      </c>
      <c r="F26" s="125" t="s">
        <v>91</v>
      </c>
      <c r="G26" s="157" t="s">
        <v>92</v>
      </c>
      <c r="H26" s="116" t="s">
        <v>7</v>
      </c>
      <c r="I26" s="243"/>
      <c r="J26" s="166"/>
      <c r="K26" s="193"/>
      <c r="L26" s="166"/>
      <c r="M26" s="193"/>
    </row>
    <row r="27" spans="2:13" s="98" customFormat="1" ht="19" customHeight="1">
      <c r="B27" s="244"/>
      <c r="C27" s="126" t="s">
        <v>11</v>
      </c>
      <c r="D27" s="208" t="str">
        <f>'Crop List'!E21</f>
        <v>Mizuna</v>
      </c>
      <c r="E27" s="327">
        <f>VLOOKUP(D27, Calculations!C8:F10, 2,FALSE)</f>
        <v>33</v>
      </c>
      <c r="F27" s="191" t="str">
        <f>VLOOKUP('Crop List'!E21,Calculations!C8:F10,3,FALSE)</f>
        <v>per pound</v>
      </c>
      <c r="G27" s="145">
        <f>VLOOKUP(D27,Calculations!C8:F10,4,FALSE)</f>
        <v>57.024000000000001</v>
      </c>
      <c r="H27" s="119"/>
      <c r="I27" s="245"/>
      <c r="J27" s="166"/>
      <c r="K27" s="193"/>
      <c r="L27" s="166"/>
      <c r="M27" s="194"/>
    </row>
    <row r="28" spans="2:13" s="98" customFormat="1" ht="32">
      <c r="B28" s="246"/>
      <c r="C28" s="127" t="s">
        <v>13</v>
      </c>
      <c r="D28" s="126" t="s">
        <v>14</v>
      </c>
      <c r="E28" s="328">
        <v>6.1</v>
      </c>
      <c r="F28" s="127" t="s">
        <v>94</v>
      </c>
      <c r="G28" s="144">
        <f>(E28*2*(((H12*0.25)/27)/0.074))</f>
        <v>3517.1171171171172</v>
      </c>
      <c r="H28" s="114"/>
      <c r="I28" s="245"/>
      <c r="J28" s="192"/>
      <c r="K28" s="193"/>
      <c r="L28" s="166"/>
      <c r="M28" s="194"/>
    </row>
    <row r="29" spans="2:13" s="98" customFormat="1" ht="16">
      <c r="B29" s="246"/>
      <c r="C29" s="127" t="s">
        <v>83</v>
      </c>
      <c r="D29" s="136"/>
      <c r="E29" s="128">
        <v>0.5</v>
      </c>
      <c r="F29" s="127" t="s">
        <v>84</v>
      </c>
      <c r="G29" s="144">
        <v>70</v>
      </c>
      <c r="H29" s="114"/>
      <c r="I29" s="245"/>
    </row>
    <row r="30" spans="2:13" s="98" customFormat="1" ht="32">
      <c r="B30" s="246"/>
      <c r="C30" s="129" t="s">
        <v>15</v>
      </c>
      <c r="D30" s="129" t="s">
        <v>98</v>
      </c>
      <c r="E30" s="142">
        <v>55</v>
      </c>
      <c r="F30" s="127"/>
      <c r="G30" s="142">
        <v>55</v>
      </c>
      <c r="H30" s="114"/>
      <c r="I30" s="221"/>
    </row>
    <row r="31" spans="2:13" s="98" customFormat="1" ht="16">
      <c r="B31" s="246"/>
      <c r="C31" s="129"/>
      <c r="D31" s="129"/>
      <c r="E31" s="137"/>
      <c r="F31" s="127"/>
      <c r="G31" s="130"/>
      <c r="H31" s="156">
        <f>SUM(G27:G30)</f>
        <v>3699.1411171171171</v>
      </c>
      <c r="I31" s="221"/>
    </row>
    <row r="32" spans="2:13" s="98" customFormat="1" ht="16">
      <c r="B32" s="247"/>
      <c r="C32" s="248"/>
      <c r="D32" s="248"/>
      <c r="E32" s="249"/>
      <c r="F32" s="250"/>
      <c r="G32" s="251"/>
      <c r="H32" s="252"/>
      <c r="I32" s="227"/>
    </row>
    <row r="33" spans="2:10" s="98" customFormat="1" ht="16">
      <c r="B33" s="99"/>
      <c r="C33" s="109"/>
      <c r="D33" s="109"/>
      <c r="E33" s="138"/>
      <c r="F33" s="107"/>
      <c r="G33" s="158"/>
      <c r="H33" s="106"/>
    </row>
    <row r="34" spans="2:10" s="98" customFormat="1" ht="16">
      <c r="B34" s="253"/>
      <c r="C34" s="254"/>
      <c r="D34" s="254"/>
      <c r="E34" s="255"/>
      <c r="F34" s="256"/>
      <c r="G34" s="257"/>
      <c r="H34" s="258"/>
      <c r="I34" s="233"/>
    </row>
    <row r="35" spans="2:10" s="100" customFormat="1" ht="16">
      <c r="B35" s="259" t="s">
        <v>115</v>
      </c>
      <c r="C35" s="131"/>
      <c r="D35" s="154" t="s">
        <v>116</v>
      </c>
      <c r="E35" s="326">
        <v>12.03</v>
      </c>
      <c r="F35" s="131"/>
      <c r="G35" s="159"/>
      <c r="H35" s="131"/>
      <c r="I35" s="221"/>
      <c r="J35" s="98"/>
    </row>
    <row r="36" spans="2:10" s="100" customFormat="1" ht="16">
      <c r="B36" s="260"/>
      <c r="C36" s="122"/>
      <c r="D36" s="131"/>
      <c r="E36" s="131"/>
      <c r="F36" s="131"/>
      <c r="G36" s="159"/>
      <c r="H36" s="131"/>
      <c r="I36" s="221"/>
      <c r="J36" s="98"/>
    </row>
    <row r="37" spans="2:10" s="103" customFormat="1" ht="28" customHeight="1">
      <c r="B37" s="259"/>
      <c r="C37" s="132"/>
      <c r="D37" s="141" t="s">
        <v>112</v>
      </c>
      <c r="E37" s="141" t="s">
        <v>113</v>
      </c>
      <c r="F37" s="141"/>
      <c r="G37" s="160" t="s">
        <v>114</v>
      </c>
      <c r="H37" s="116" t="s">
        <v>7</v>
      </c>
      <c r="I37" s="221"/>
      <c r="J37" s="98"/>
    </row>
    <row r="38" spans="2:10" s="102" customFormat="1" ht="16">
      <c r="B38" s="222"/>
      <c r="C38" s="122"/>
      <c r="D38" s="122" t="s">
        <v>18</v>
      </c>
      <c r="E38" s="143">
        <f>0.00875*H12</f>
        <v>20.160000000000004</v>
      </c>
      <c r="F38" s="122" t="s">
        <v>0</v>
      </c>
      <c r="G38" s="147">
        <f t="shared" ref="G38:G43" si="0">$E$35*E38</f>
        <v>242.52480000000003</v>
      </c>
      <c r="H38" s="132"/>
      <c r="I38" s="221"/>
      <c r="J38" s="98"/>
    </row>
    <row r="39" spans="2:10" s="102" customFormat="1" ht="16">
      <c r="B39" s="222"/>
      <c r="C39" s="122"/>
      <c r="D39" s="122" t="s">
        <v>19</v>
      </c>
      <c r="E39" s="143">
        <f>0.00641*H12</f>
        <v>14.76864</v>
      </c>
      <c r="F39" s="122" t="s">
        <v>0</v>
      </c>
      <c r="G39" s="147">
        <f t="shared" si="0"/>
        <v>177.66673919999999</v>
      </c>
      <c r="H39" s="132"/>
      <c r="I39" s="261"/>
      <c r="J39" s="100"/>
    </row>
    <row r="40" spans="2:10" s="101" customFormat="1" ht="16">
      <c r="B40" s="222"/>
      <c r="C40" s="122"/>
      <c r="D40" s="122" t="s">
        <v>20</v>
      </c>
      <c r="E40" s="143">
        <f>0.003*H12</f>
        <v>6.9119999999999999</v>
      </c>
      <c r="F40" s="122" t="s">
        <v>0</v>
      </c>
      <c r="G40" s="147">
        <f t="shared" si="0"/>
        <v>83.151359999999997</v>
      </c>
      <c r="H40" s="132"/>
      <c r="I40" s="261"/>
      <c r="J40" s="100"/>
    </row>
    <row r="41" spans="2:10" s="102" customFormat="1" ht="16">
      <c r="B41" s="222"/>
      <c r="C41" s="122"/>
      <c r="D41" s="122" t="s">
        <v>21</v>
      </c>
      <c r="E41" s="143">
        <f>0.0146*H12</f>
        <v>33.638399999999997</v>
      </c>
      <c r="F41" s="122" t="s">
        <v>0</v>
      </c>
      <c r="G41" s="147">
        <f t="shared" si="0"/>
        <v>404.66995199999997</v>
      </c>
      <c r="H41" s="132"/>
      <c r="I41" s="262"/>
      <c r="J41" s="103"/>
    </row>
    <row r="42" spans="2:10" s="102" customFormat="1" ht="16">
      <c r="B42" s="260"/>
      <c r="C42" s="131"/>
      <c r="D42" s="131" t="s">
        <v>22</v>
      </c>
      <c r="E42" s="195">
        <f>(0.29/(60))*H12</f>
        <v>11.135999999999999</v>
      </c>
      <c r="F42" s="122" t="s">
        <v>0</v>
      </c>
      <c r="G42" s="147">
        <f t="shared" si="0"/>
        <v>133.96607999999998</v>
      </c>
      <c r="H42" s="132"/>
      <c r="I42" s="262"/>
      <c r="J42" s="103"/>
    </row>
    <row r="43" spans="2:10" s="102" customFormat="1" ht="16">
      <c r="B43" s="260"/>
      <c r="C43" s="131"/>
      <c r="D43" s="131" t="s">
        <v>23</v>
      </c>
      <c r="E43" s="196">
        <v>5</v>
      </c>
      <c r="F43" s="131" t="s">
        <v>0</v>
      </c>
      <c r="G43" s="147">
        <f t="shared" si="0"/>
        <v>60.15</v>
      </c>
      <c r="H43" s="132"/>
      <c r="I43" s="262"/>
      <c r="J43" s="103"/>
    </row>
    <row r="44" spans="2:10" s="102" customFormat="1" ht="16">
      <c r="B44" s="263"/>
      <c r="C44" s="132"/>
      <c r="D44" s="139"/>
      <c r="E44" s="139"/>
      <c r="F44" s="139"/>
      <c r="G44" s="139"/>
      <c r="H44" s="156">
        <f>SUM(G38:G43)</f>
        <v>1102.1289312000001</v>
      </c>
      <c r="I44" s="234"/>
    </row>
    <row r="45" spans="2:10" s="102" customFormat="1" ht="16">
      <c r="B45" s="264"/>
      <c r="C45" s="265"/>
      <c r="D45" s="266"/>
      <c r="E45" s="267"/>
      <c r="F45" s="266"/>
      <c r="G45" s="268"/>
      <c r="H45" s="269"/>
      <c r="I45" s="270"/>
      <c r="J45" s="113"/>
    </row>
    <row r="46" spans="2:10" s="102" customFormat="1" ht="16">
      <c r="B46" s="103"/>
      <c r="C46" s="103"/>
      <c r="D46" s="103"/>
      <c r="E46" s="108"/>
      <c r="F46" s="111"/>
      <c r="G46" s="110"/>
      <c r="H46" s="112"/>
      <c r="I46" s="101"/>
    </row>
    <row r="47" spans="2:10" s="102" customFormat="1">
      <c r="B47" s="240"/>
      <c r="C47" s="241"/>
      <c r="D47" s="241"/>
      <c r="E47" s="241"/>
      <c r="F47" s="241"/>
      <c r="G47" s="241"/>
      <c r="H47" s="241"/>
      <c r="I47" s="271"/>
    </row>
    <row r="48" spans="2:10" s="102" customFormat="1" ht="97" customHeight="1">
      <c r="B48" s="507" t="s">
        <v>169</v>
      </c>
      <c r="C48" s="508"/>
      <c r="D48" s="508"/>
      <c r="E48" s="508"/>
      <c r="F48" s="508"/>
      <c r="G48" s="508"/>
      <c r="H48" s="508"/>
      <c r="I48" s="509"/>
    </row>
    <row r="49" spans="2:13" s="102" customFormat="1" ht="16">
      <c r="B49" s="272"/>
      <c r="C49" s="120"/>
      <c r="D49" s="133"/>
      <c r="E49" s="140" t="s">
        <v>117</v>
      </c>
      <c r="F49" s="329">
        <v>3.23</v>
      </c>
      <c r="G49" s="120"/>
      <c r="H49" s="120"/>
      <c r="I49" s="234"/>
    </row>
    <row r="50" spans="2:13" s="102" customFormat="1">
      <c r="B50" s="263"/>
      <c r="C50" s="120"/>
      <c r="D50" s="120"/>
      <c r="E50" s="120"/>
      <c r="F50" s="120"/>
      <c r="G50" s="120"/>
      <c r="H50" s="120"/>
      <c r="I50" s="234"/>
    </row>
    <row r="51" spans="2:13" s="102" customFormat="1" ht="55" customHeight="1">
      <c r="B51" s="263"/>
      <c r="C51" s="116" t="s">
        <v>68</v>
      </c>
      <c r="D51" s="116" t="s">
        <v>69</v>
      </c>
      <c r="E51" s="116" t="s">
        <v>70</v>
      </c>
      <c r="F51" s="134" t="s">
        <v>119</v>
      </c>
      <c r="G51" s="134" t="s">
        <v>72</v>
      </c>
      <c r="H51" s="134" t="s">
        <v>118</v>
      </c>
      <c r="I51" s="234"/>
    </row>
    <row r="52" spans="2:13" s="102" customFormat="1" ht="16">
      <c r="B52" s="263"/>
      <c r="C52" s="115" t="s">
        <v>150</v>
      </c>
      <c r="D52" s="330">
        <f>VLOOKUP(L52,Calculations!D56:H79,2)</f>
        <v>40</v>
      </c>
      <c r="E52" s="330">
        <f>VLOOKUP(L52,Calculations!D56:J79,3)</f>
        <v>43</v>
      </c>
      <c r="F52" s="135">
        <f>E52-D52</f>
        <v>3</v>
      </c>
      <c r="G52" s="331">
        <f>VLOOKUP(L52,Calculations!D56:J79,5)</f>
        <v>80.495356037151709</v>
      </c>
      <c r="H52" s="332">
        <f>G52*$F$49</f>
        <v>260</v>
      </c>
      <c r="I52" s="234"/>
      <c r="J52" s="324" t="s">
        <v>2</v>
      </c>
      <c r="K52" s="325" t="s">
        <v>130</v>
      </c>
      <c r="L52" s="190" t="str">
        <f>$D$7&amp;"|"&amp;$H$7&amp;" "&amp;J52&amp;" "&amp;K52</f>
        <v>Mizuna|50 Fall Early</v>
      </c>
      <c r="M52" s="190"/>
    </row>
    <row r="53" spans="2:13" s="102" customFormat="1" ht="16">
      <c r="B53" s="263"/>
      <c r="C53" s="115" t="s">
        <v>151</v>
      </c>
      <c r="D53" s="330">
        <f>VLOOKUP(L53,Calculations!D55:I79,2)</f>
        <v>44</v>
      </c>
      <c r="E53" s="330">
        <f>VLOOKUP(L53,Calculations!D56:J79,3)</f>
        <v>50</v>
      </c>
      <c r="F53" s="135">
        <f t="shared" ref="F53:F55" si="1">E53-D53</f>
        <v>6</v>
      </c>
      <c r="G53" s="331">
        <f>VLOOKUP(L53,Calculations!D56:J79,5)</f>
        <v>401.85758513931887</v>
      </c>
      <c r="H53" s="332">
        <f t="shared" ref="H53:H55" si="2">G53*$F$49</f>
        <v>1298</v>
      </c>
      <c r="I53" s="234"/>
      <c r="J53" s="324" t="s">
        <v>2</v>
      </c>
      <c r="K53" s="325" t="s">
        <v>131</v>
      </c>
      <c r="L53" s="190" t="str">
        <f>$D$7&amp;"|"&amp;$H$7&amp;" "&amp;J53&amp;" "&amp;K53</f>
        <v>Mizuna|50 Fall Late</v>
      </c>
      <c r="M53" s="190"/>
    </row>
    <row r="54" spans="2:13" s="102" customFormat="1" ht="16">
      <c r="B54" s="263"/>
      <c r="C54" s="115" t="s">
        <v>152</v>
      </c>
      <c r="D54" s="330">
        <f>VLOOKUP(L54,Calculations!D55:I79,2)</f>
        <v>4</v>
      </c>
      <c r="E54" s="330">
        <f>VLOOKUP(L54,Calculations!D56:J79,3)</f>
        <v>9</v>
      </c>
      <c r="F54" s="135">
        <f t="shared" si="1"/>
        <v>5</v>
      </c>
      <c r="G54" s="331">
        <f>VLOOKUP(L54,Calculations!D56:J79,5)</f>
        <v>798.76160990712071</v>
      </c>
      <c r="H54" s="332">
        <f t="shared" si="2"/>
        <v>2580</v>
      </c>
      <c r="I54" s="234"/>
      <c r="J54" s="324" t="s">
        <v>82</v>
      </c>
      <c r="K54" s="325" t="s">
        <v>130</v>
      </c>
      <c r="L54" s="190" t="str">
        <f>$D$7&amp;"|"&amp;$H$7&amp;" "&amp;J54&amp;" "&amp;K54</f>
        <v>Mizuna|50 Winter Early</v>
      </c>
      <c r="M54" s="190"/>
    </row>
    <row r="55" spans="2:13" s="102" customFormat="1" ht="16">
      <c r="B55" s="263"/>
      <c r="C55" s="115" t="s">
        <v>153</v>
      </c>
      <c r="D55" s="330">
        <f>VLOOKUP(L55,Calculations!D56:J79,2)</f>
        <v>10</v>
      </c>
      <c r="E55" s="330">
        <f>VLOOKUP(L55,Calculations!D56:J79,3)</f>
        <v>13</v>
      </c>
      <c r="F55" s="135">
        <f t="shared" si="1"/>
        <v>3</v>
      </c>
      <c r="G55" s="331">
        <f>VLOOKUP(L55,Calculations!D56:J79,5)</f>
        <v>353.25077399380802</v>
      </c>
      <c r="H55" s="332">
        <f t="shared" si="2"/>
        <v>1141</v>
      </c>
      <c r="I55" s="234"/>
      <c r="J55" s="324" t="s">
        <v>82</v>
      </c>
      <c r="K55" s="325" t="s">
        <v>131</v>
      </c>
      <c r="L55" s="190" t="str">
        <f>$D$7&amp;"|"&amp;$H$7&amp;" "&amp;J55&amp;" "&amp;K55</f>
        <v>Mizuna|50 Winter Late</v>
      </c>
      <c r="M55" s="190"/>
    </row>
    <row r="56" spans="2:13" s="102" customFormat="1">
      <c r="B56" s="236"/>
      <c r="C56" s="237"/>
      <c r="D56" s="237"/>
      <c r="E56" s="237"/>
      <c r="F56" s="237"/>
      <c r="G56" s="237"/>
      <c r="H56" s="237"/>
      <c r="I56" s="238"/>
      <c r="J56" s="190"/>
      <c r="K56" s="190"/>
      <c r="L56" s="190"/>
      <c r="M56" s="190"/>
    </row>
    <row r="57" spans="2:13" s="102" customFormat="1"/>
    <row r="58" spans="2:13" s="102" customFormat="1"/>
    <row r="59" spans="2:13" s="102" customFormat="1"/>
    <row r="60" spans="2:13">
      <c r="B60" s="102"/>
      <c r="C60" s="102"/>
      <c r="D60" s="102"/>
      <c r="E60" s="102"/>
      <c r="F60" s="102"/>
      <c r="G60" s="102"/>
      <c r="H60" s="102"/>
    </row>
    <row r="61" spans="2:13">
      <c r="B61" s="102"/>
      <c r="C61" s="102"/>
      <c r="D61" s="102"/>
      <c r="E61" s="102"/>
      <c r="F61" s="102"/>
      <c r="G61" s="102"/>
      <c r="H61" s="102"/>
    </row>
    <row r="62" spans="2:13">
      <c r="B62" s="102"/>
      <c r="C62" s="102"/>
      <c r="D62" s="102"/>
      <c r="E62" s="102"/>
      <c r="F62" s="102"/>
      <c r="G62" s="102"/>
      <c r="H62" s="102"/>
    </row>
  </sheetData>
  <sheetProtection password="DB33" sheet="1" objects="1" scenarios="1"/>
  <mergeCells count="4">
    <mergeCell ref="F7:G7"/>
    <mergeCell ref="B48:I48"/>
    <mergeCell ref="B16:I16"/>
    <mergeCell ref="B11:C1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8"/>
  </sheetPr>
  <dimension ref="B1:O71"/>
  <sheetViews>
    <sheetView zoomScale="95" zoomScaleNormal="95" zoomScalePageLayoutView="95" workbookViewId="0">
      <pane ySplit="8" topLeftCell="A9" activePane="bottomLeft" state="frozen"/>
      <selection pane="bottomLeft" activeCell="E26" sqref="E26"/>
    </sheetView>
  </sheetViews>
  <sheetFormatPr baseColWidth="10" defaultColWidth="10.83203125" defaultRowHeight="13" x14ac:dyDescent="0"/>
  <cols>
    <col min="1" max="1" width="10.83203125" style="297"/>
    <col min="2" max="2" width="22.1640625" style="297" customWidth="1"/>
    <col min="3" max="3" width="16.33203125" style="297" customWidth="1"/>
    <col min="4" max="4" width="24.1640625" style="297" customWidth="1"/>
    <col min="5" max="5" width="16.33203125" style="297" customWidth="1"/>
    <col min="6" max="6" width="16.6640625" style="297" customWidth="1"/>
    <col min="7" max="7" width="17.6640625" style="297" customWidth="1"/>
    <col min="8" max="8" width="13.33203125" style="297" customWidth="1"/>
    <col min="9" max="9" width="15.1640625" style="297" customWidth="1"/>
    <col min="10" max="10" width="14" style="297" customWidth="1"/>
    <col min="11" max="11" width="15.33203125" style="297" customWidth="1"/>
    <col min="12" max="16384" width="10.83203125" style="297"/>
  </cols>
  <sheetData>
    <row r="1" spans="2:11" ht="22" customHeight="1"/>
    <row r="2" spans="2:11" ht="22" customHeight="1">
      <c r="B2" s="333" t="s">
        <v>144</v>
      </c>
    </row>
    <row r="3" spans="2:11" ht="22" customHeight="1"/>
    <row r="4" spans="2:11" ht="22" customHeight="1">
      <c r="B4" s="299"/>
    </row>
    <row r="5" spans="2:11" ht="22" customHeight="1">
      <c r="B5" s="299"/>
    </row>
    <row r="6" spans="2:11" ht="22" customHeight="1"/>
    <row r="7" spans="2:11" s="300" customFormat="1" ht="22" customHeight="1">
      <c r="C7" s="334" t="s">
        <v>99</v>
      </c>
      <c r="D7" s="335" t="str">
        <f>'Crop List'!E21</f>
        <v>Mizuna</v>
      </c>
      <c r="E7" s="303"/>
      <c r="F7" s="516" t="s">
        <v>137</v>
      </c>
      <c r="G7" s="517"/>
      <c r="H7" s="335">
        <f>'Crop List'!J21</f>
        <v>50</v>
      </c>
    </row>
    <row r="8" spans="2:11" s="336" customFormat="1" ht="22" customHeight="1" thickBot="1"/>
    <row r="10" spans="2:11" s="337" customFormat="1"/>
    <row r="11" spans="2:11" s="337" customFormat="1">
      <c r="B11" s="338"/>
      <c r="C11" s="339"/>
      <c r="D11" s="339"/>
      <c r="E11" s="339"/>
      <c r="F11" s="339"/>
      <c r="G11" s="339"/>
      <c r="H11" s="339"/>
      <c r="I11" s="339"/>
      <c r="J11" s="339"/>
      <c r="K11" s="340"/>
    </row>
    <row r="12" spans="2:11" s="345" customFormat="1" ht="20" customHeight="1">
      <c r="B12" s="341" t="s">
        <v>95</v>
      </c>
      <c r="C12" s="342" t="s">
        <v>132</v>
      </c>
      <c r="D12" s="342" t="s">
        <v>133</v>
      </c>
      <c r="E12" s="342" t="s">
        <v>96</v>
      </c>
      <c r="F12" s="342" t="s">
        <v>97</v>
      </c>
      <c r="G12" s="342" t="s">
        <v>143</v>
      </c>
      <c r="H12" s="312"/>
      <c r="I12" s="312"/>
      <c r="J12" s="312"/>
      <c r="K12" s="344"/>
    </row>
    <row r="13" spans="2:11" s="345" customFormat="1" ht="16">
      <c r="B13" s="346"/>
      <c r="C13" s="347">
        <v>96</v>
      </c>
      <c r="D13" s="348">
        <v>30</v>
      </c>
      <c r="E13" s="348">
        <f>C13*D13</f>
        <v>2880</v>
      </c>
      <c r="F13" s="349">
        <v>0.8</v>
      </c>
      <c r="G13" s="348">
        <f>E13*F13</f>
        <v>2304</v>
      </c>
      <c r="H13" s="312"/>
      <c r="I13" s="312"/>
      <c r="J13" s="312"/>
      <c r="K13" s="344"/>
    </row>
    <row r="14" spans="2:11" s="345" customFormat="1" ht="16">
      <c r="B14" s="350"/>
      <c r="C14" s="351"/>
      <c r="D14" s="351"/>
      <c r="E14" s="352"/>
      <c r="F14" s="351"/>
      <c r="G14" s="353"/>
      <c r="H14" s="353"/>
      <c r="I14" s="353"/>
      <c r="J14" s="353"/>
      <c r="K14" s="354"/>
    </row>
    <row r="15" spans="2:11" s="345" customFormat="1" ht="16">
      <c r="C15" s="355"/>
      <c r="D15" s="355"/>
      <c r="E15" s="356"/>
      <c r="F15" s="355"/>
    </row>
    <row r="16" spans="2:11" s="345" customFormat="1" ht="16">
      <c r="B16" s="357"/>
      <c r="C16" s="358"/>
      <c r="D16" s="358"/>
      <c r="E16" s="359"/>
      <c r="F16" s="358"/>
      <c r="G16" s="360"/>
      <c r="H16" s="360"/>
      <c r="I16" s="360"/>
      <c r="J16" s="360"/>
      <c r="K16" s="361"/>
    </row>
    <row r="17" spans="2:11" s="345" customFormat="1" ht="16">
      <c r="B17" s="521" t="s">
        <v>154</v>
      </c>
      <c r="C17" s="522"/>
      <c r="D17" s="522"/>
      <c r="E17" s="522"/>
      <c r="F17" s="522"/>
      <c r="G17" s="522"/>
      <c r="H17" s="522"/>
      <c r="I17" s="522"/>
      <c r="J17" s="522"/>
      <c r="K17" s="523"/>
    </row>
    <row r="18" spans="2:11" s="345" customFormat="1" ht="16">
      <c r="B18" s="521"/>
      <c r="C18" s="522"/>
      <c r="D18" s="522"/>
      <c r="E18" s="522"/>
      <c r="F18" s="522"/>
      <c r="G18" s="522"/>
      <c r="H18" s="522"/>
      <c r="I18" s="522"/>
      <c r="J18" s="522"/>
      <c r="K18" s="523"/>
    </row>
    <row r="19" spans="2:11" s="345" customFormat="1" ht="16">
      <c r="B19" s="521"/>
      <c r="C19" s="522"/>
      <c r="D19" s="522"/>
      <c r="E19" s="522"/>
      <c r="F19" s="522"/>
      <c r="G19" s="522"/>
      <c r="H19" s="522"/>
      <c r="I19" s="522"/>
      <c r="J19" s="522"/>
      <c r="K19" s="523"/>
    </row>
    <row r="20" spans="2:11" s="345" customFormat="1" ht="16">
      <c r="B20" s="521"/>
      <c r="C20" s="522"/>
      <c r="D20" s="522"/>
      <c r="E20" s="522"/>
      <c r="F20" s="522"/>
      <c r="G20" s="522"/>
      <c r="H20" s="522"/>
      <c r="I20" s="522"/>
      <c r="J20" s="522"/>
      <c r="K20" s="523"/>
    </row>
    <row r="21" spans="2:11" s="345" customFormat="1" ht="16">
      <c r="B21" s="521"/>
      <c r="C21" s="522"/>
      <c r="D21" s="522"/>
      <c r="E21" s="522"/>
      <c r="F21" s="522"/>
      <c r="G21" s="522"/>
      <c r="H21" s="522"/>
      <c r="I21" s="522"/>
      <c r="J21" s="522"/>
      <c r="K21" s="523"/>
    </row>
    <row r="22" spans="2:11" s="345" customFormat="1" ht="16">
      <c r="B22" s="362"/>
      <c r="C22" s="363"/>
      <c r="D22" s="363"/>
      <c r="E22" s="364"/>
      <c r="F22" s="363"/>
      <c r="G22" s="365"/>
      <c r="H22" s="365"/>
      <c r="I22" s="365"/>
      <c r="J22" s="365"/>
      <c r="K22" s="366"/>
    </row>
    <row r="23" spans="2:11" s="337" customFormat="1" ht="16">
      <c r="B23" s="346"/>
      <c r="C23" s="312"/>
      <c r="D23" s="312"/>
      <c r="E23" s="367"/>
      <c r="F23" s="368"/>
      <c r="G23" s="369"/>
      <c r="H23" s="520" t="s">
        <v>24</v>
      </c>
      <c r="I23" s="520"/>
      <c r="J23" s="520"/>
      <c r="K23" s="370"/>
    </row>
    <row r="24" spans="2:11" s="337" customFormat="1" ht="16">
      <c r="B24" s="371"/>
      <c r="C24" s="343"/>
      <c r="D24" s="343" t="s">
        <v>25</v>
      </c>
      <c r="E24" s="342" t="s">
        <v>121</v>
      </c>
      <c r="F24" s="342"/>
      <c r="G24" s="470" t="s">
        <v>26</v>
      </c>
      <c r="H24" s="470" t="s">
        <v>27</v>
      </c>
      <c r="I24" s="470" t="s">
        <v>170</v>
      </c>
      <c r="J24" s="470" t="s">
        <v>28</v>
      </c>
      <c r="K24" s="471" t="s">
        <v>29</v>
      </c>
    </row>
    <row r="25" spans="2:11" s="337" customFormat="1" ht="16">
      <c r="B25" s="374" t="s">
        <v>30</v>
      </c>
      <c r="C25" s="375"/>
      <c r="D25" s="375"/>
      <c r="E25" s="367"/>
      <c r="F25" s="376"/>
      <c r="G25" s="377"/>
      <c r="H25" s="369"/>
      <c r="I25" s="369"/>
      <c r="J25" s="369"/>
      <c r="K25" s="370"/>
    </row>
    <row r="26" spans="2:11" s="337" customFormat="1" ht="34" customHeight="1">
      <c r="B26" s="374"/>
      <c r="C26" s="375" t="s">
        <v>31</v>
      </c>
      <c r="D26" s="378" t="s">
        <v>32</v>
      </c>
      <c r="E26" s="460">
        <v>2560</v>
      </c>
      <c r="F26" s="376"/>
      <c r="G26" s="379">
        <f>E26</f>
        <v>2560</v>
      </c>
      <c r="H26" s="380">
        <v>10</v>
      </c>
      <c r="I26" s="381">
        <f>G26*0.1</f>
        <v>256</v>
      </c>
      <c r="J26" s="381">
        <f>(G26/2)*0.07</f>
        <v>89.600000000000009</v>
      </c>
      <c r="K26" s="382">
        <f>SUM(I26:J26)</f>
        <v>345.6</v>
      </c>
    </row>
    <row r="27" spans="2:11" s="337" customFormat="1" ht="34" customHeight="1">
      <c r="B27" s="374"/>
      <c r="C27" s="383" t="s">
        <v>33</v>
      </c>
      <c r="D27" s="376" t="s">
        <v>126</v>
      </c>
      <c r="E27" s="461">
        <v>38.9</v>
      </c>
      <c r="F27" s="376" t="s">
        <v>34</v>
      </c>
      <c r="G27" s="384">
        <f>E27*44</f>
        <v>1711.6</v>
      </c>
      <c r="H27" s="380">
        <v>10</v>
      </c>
      <c r="I27" s="381">
        <f t="shared" ref="I27:I32" si="0">G27*0.1</f>
        <v>171.16</v>
      </c>
      <c r="J27" s="381">
        <f>(G27/2)*0.07</f>
        <v>59.906000000000006</v>
      </c>
      <c r="K27" s="382">
        <f t="shared" ref="K27:K42" si="1">SUM(I27:J27)</f>
        <v>231.066</v>
      </c>
    </row>
    <row r="28" spans="2:11" s="337" customFormat="1" ht="34" customHeight="1">
      <c r="B28" s="374"/>
      <c r="C28" s="375" t="s">
        <v>35</v>
      </c>
      <c r="D28" s="385" t="s">
        <v>36</v>
      </c>
      <c r="E28" s="461">
        <f>4870</f>
        <v>4870</v>
      </c>
      <c r="F28" s="376" t="s">
        <v>37</v>
      </c>
      <c r="G28" s="384">
        <f>E28*2</f>
        <v>9740</v>
      </c>
      <c r="H28" s="380">
        <v>10</v>
      </c>
      <c r="I28" s="381">
        <f t="shared" si="0"/>
        <v>974</v>
      </c>
      <c r="J28" s="381">
        <f t="shared" ref="J28:J42" si="2">(G28/2)*0.07</f>
        <v>340.90000000000003</v>
      </c>
      <c r="K28" s="382">
        <f t="shared" si="1"/>
        <v>1314.9</v>
      </c>
    </row>
    <row r="29" spans="2:11" s="337" customFormat="1" ht="34" customHeight="1">
      <c r="B29" s="374"/>
      <c r="C29" s="375" t="s">
        <v>38</v>
      </c>
      <c r="D29" s="376" t="s">
        <v>39</v>
      </c>
      <c r="E29" s="461">
        <f>365</f>
        <v>365</v>
      </c>
      <c r="F29" s="376" t="s">
        <v>37</v>
      </c>
      <c r="G29" s="384">
        <f>2*E29</f>
        <v>730</v>
      </c>
      <c r="H29" s="380">
        <v>10</v>
      </c>
      <c r="I29" s="381">
        <f t="shared" si="0"/>
        <v>73</v>
      </c>
      <c r="J29" s="381">
        <f t="shared" si="2"/>
        <v>25.55</v>
      </c>
      <c r="K29" s="382">
        <f t="shared" si="1"/>
        <v>98.55</v>
      </c>
    </row>
    <row r="30" spans="2:11" s="337" customFormat="1" ht="34" customHeight="1">
      <c r="B30" s="374"/>
      <c r="C30" s="375" t="s">
        <v>40</v>
      </c>
      <c r="D30" s="376" t="s">
        <v>41</v>
      </c>
      <c r="E30" s="461">
        <f>300</f>
        <v>300</v>
      </c>
      <c r="F30" s="376" t="s">
        <v>37</v>
      </c>
      <c r="G30" s="384">
        <f>2*E30</f>
        <v>600</v>
      </c>
      <c r="H30" s="380">
        <v>10</v>
      </c>
      <c r="I30" s="381">
        <f t="shared" si="0"/>
        <v>60</v>
      </c>
      <c r="J30" s="381">
        <f t="shared" si="2"/>
        <v>21.000000000000004</v>
      </c>
      <c r="K30" s="382">
        <f t="shared" si="1"/>
        <v>81</v>
      </c>
    </row>
    <row r="31" spans="2:11" s="337" customFormat="1" ht="34" customHeight="1">
      <c r="B31" s="374"/>
      <c r="C31" s="375" t="s">
        <v>42</v>
      </c>
      <c r="D31" s="376" t="s">
        <v>43</v>
      </c>
      <c r="E31" s="461">
        <f>150.22</f>
        <v>150.22</v>
      </c>
      <c r="F31" s="376" t="s">
        <v>37</v>
      </c>
      <c r="G31" s="384">
        <f>6*E31</f>
        <v>901.31999999999994</v>
      </c>
      <c r="H31" s="380">
        <v>10</v>
      </c>
      <c r="I31" s="381">
        <f t="shared" si="0"/>
        <v>90.132000000000005</v>
      </c>
      <c r="J31" s="381">
        <f t="shared" si="2"/>
        <v>31.546200000000002</v>
      </c>
      <c r="K31" s="382">
        <f t="shared" si="1"/>
        <v>121.6782</v>
      </c>
    </row>
    <row r="32" spans="2:11" s="337" customFormat="1" ht="34" customHeight="1">
      <c r="B32" s="374"/>
      <c r="C32" s="375" t="s">
        <v>44</v>
      </c>
      <c r="D32" s="376" t="s">
        <v>45</v>
      </c>
      <c r="E32" s="461">
        <v>147.68</v>
      </c>
      <c r="F32" s="376" t="s">
        <v>37</v>
      </c>
      <c r="G32" s="384">
        <f>E32</f>
        <v>147.68</v>
      </c>
      <c r="H32" s="380">
        <v>10</v>
      </c>
      <c r="I32" s="381">
        <f t="shared" si="0"/>
        <v>14.768000000000001</v>
      </c>
      <c r="J32" s="381">
        <f t="shared" si="2"/>
        <v>5.1688000000000009</v>
      </c>
      <c r="K32" s="382">
        <f t="shared" si="1"/>
        <v>19.936800000000002</v>
      </c>
    </row>
    <row r="33" spans="2:11" s="337" customFormat="1" ht="34" customHeight="1">
      <c r="B33" s="374" t="s">
        <v>46</v>
      </c>
      <c r="C33" s="375" t="s">
        <v>47</v>
      </c>
      <c r="D33" s="386" t="s">
        <v>122</v>
      </c>
      <c r="E33" s="460">
        <f>429.5</f>
        <v>429.5</v>
      </c>
      <c r="F33" s="376"/>
      <c r="G33" s="379">
        <f>E33</f>
        <v>429.5</v>
      </c>
      <c r="H33" s="380">
        <v>5</v>
      </c>
      <c r="I33" s="381">
        <f>G33*0.05</f>
        <v>21.475000000000001</v>
      </c>
      <c r="J33" s="381">
        <f t="shared" si="2"/>
        <v>15.032500000000001</v>
      </c>
      <c r="K33" s="382">
        <f t="shared" si="1"/>
        <v>36.5075</v>
      </c>
    </row>
    <row r="34" spans="2:11" s="337" customFormat="1" ht="34" customHeight="1">
      <c r="B34" s="374"/>
      <c r="C34" s="375"/>
      <c r="D34" s="386" t="s">
        <v>123</v>
      </c>
      <c r="E34" s="460">
        <v>606.89</v>
      </c>
      <c r="F34" s="376"/>
      <c r="G34" s="379">
        <f>E34</f>
        <v>606.89</v>
      </c>
      <c r="H34" s="380">
        <v>5</v>
      </c>
      <c r="I34" s="381">
        <f t="shared" ref="I34:I36" si="3">G34*0.05</f>
        <v>30.3445</v>
      </c>
      <c r="J34" s="381">
        <f t="shared" si="2"/>
        <v>21.241150000000001</v>
      </c>
      <c r="K34" s="382">
        <f t="shared" si="1"/>
        <v>51.585650000000001</v>
      </c>
    </row>
    <row r="35" spans="2:11" s="337" customFormat="1" ht="34" customHeight="1">
      <c r="B35" s="374"/>
      <c r="C35" s="375" t="s">
        <v>48</v>
      </c>
      <c r="D35" s="386" t="s">
        <v>124</v>
      </c>
      <c r="E35" s="461">
        <f>1.5*2*90</f>
        <v>270</v>
      </c>
      <c r="F35" s="376"/>
      <c r="G35" s="384">
        <f>E35</f>
        <v>270</v>
      </c>
      <c r="H35" s="380">
        <v>5</v>
      </c>
      <c r="I35" s="381">
        <f t="shared" si="3"/>
        <v>13.5</v>
      </c>
      <c r="J35" s="381">
        <f t="shared" si="2"/>
        <v>9.4500000000000011</v>
      </c>
      <c r="K35" s="382">
        <f t="shared" si="1"/>
        <v>22.950000000000003</v>
      </c>
    </row>
    <row r="36" spans="2:11" s="337" customFormat="1" ht="34" customHeight="1">
      <c r="B36" s="374"/>
      <c r="C36" s="375" t="s">
        <v>49</v>
      </c>
      <c r="D36" s="387" t="s">
        <v>125</v>
      </c>
      <c r="E36" s="461">
        <v>50.96</v>
      </c>
      <c r="F36" s="376" t="s">
        <v>50</v>
      </c>
      <c r="G36" s="384">
        <f>(E36/25)*(G13/1.625)</f>
        <v>2890.1376</v>
      </c>
      <c r="H36" s="380">
        <v>5</v>
      </c>
      <c r="I36" s="381">
        <f t="shared" si="3"/>
        <v>144.50688</v>
      </c>
      <c r="J36" s="381">
        <f t="shared" si="2"/>
        <v>101.15481600000001</v>
      </c>
      <c r="K36" s="382">
        <f t="shared" si="1"/>
        <v>245.66169600000001</v>
      </c>
    </row>
    <row r="37" spans="2:11" s="337" customFormat="1" ht="34" customHeight="1">
      <c r="B37" s="388"/>
      <c r="C37" s="383" t="s">
        <v>85</v>
      </c>
      <c r="D37" s="378" t="s">
        <v>87</v>
      </c>
      <c r="E37" s="462">
        <v>195</v>
      </c>
      <c r="F37" s="378" t="s">
        <v>86</v>
      </c>
      <c r="G37" s="389">
        <f>(G13/32)*E37</f>
        <v>14040</v>
      </c>
      <c r="H37" s="390">
        <v>10</v>
      </c>
      <c r="I37" s="391">
        <f>G37*0.1</f>
        <v>1404</v>
      </c>
      <c r="J37" s="391">
        <f t="shared" si="2"/>
        <v>491.40000000000003</v>
      </c>
      <c r="K37" s="392">
        <f t="shared" ref="K37" si="4">SUM(I37:J37)</f>
        <v>1895.4</v>
      </c>
    </row>
    <row r="38" spans="2:11" s="337" customFormat="1" ht="34" customHeight="1">
      <c r="B38" s="374" t="s">
        <v>51</v>
      </c>
      <c r="C38" s="386" t="s">
        <v>52</v>
      </c>
      <c r="D38" s="386" t="s">
        <v>53</v>
      </c>
      <c r="E38" s="460">
        <v>150</v>
      </c>
      <c r="F38" s="393"/>
      <c r="G38" s="379">
        <f>E38</f>
        <v>150</v>
      </c>
      <c r="H38" s="380">
        <v>10</v>
      </c>
      <c r="I38" s="381">
        <f>G38*0.1</f>
        <v>15</v>
      </c>
      <c r="J38" s="381">
        <f t="shared" si="2"/>
        <v>5.2500000000000009</v>
      </c>
      <c r="K38" s="382">
        <f t="shared" si="1"/>
        <v>20.25</v>
      </c>
    </row>
    <row r="39" spans="2:11" s="337" customFormat="1" ht="34" customHeight="1">
      <c r="B39" s="374"/>
      <c r="C39" s="386" t="s">
        <v>54</v>
      </c>
      <c r="D39" s="386" t="s">
        <v>55</v>
      </c>
      <c r="E39" s="460">
        <v>27</v>
      </c>
      <c r="F39" s="393"/>
      <c r="G39" s="379">
        <f>E39*2</f>
        <v>54</v>
      </c>
      <c r="H39" s="380">
        <v>5</v>
      </c>
      <c r="I39" s="381">
        <f>G39*0.05</f>
        <v>2.7</v>
      </c>
      <c r="J39" s="381">
        <f t="shared" si="2"/>
        <v>1.8900000000000001</v>
      </c>
      <c r="K39" s="382">
        <f t="shared" si="1"/>
        <v>4.59</v>
      </c>
    </row>
    <row r="40" spans="2:11" s="337" customFormat="1" ht="34" customHeight="1">
      <c r="B40" s="374"/>
      <c r="C40" s="386" t="s">
        <v>56</v>
      </c>
      <c r="D40" s="386" t="s">
        <v>57</v>
      </c>
      <c r="E40" s="460">
        <v>13</v>
      </c>
      <c r="F40" s="386"/>
      <c r="G40" s="379">
        <f>E40*4</f>
        <v>52</v>
      </c>
      <c r="H40" s="380">
        <v>5</v>
      </c>
      <c r="I40" s="381">
        <f>G40*0.05</f>
        <v>2.6</v>
      </c>
      <c r="J40" s="381">
        <f t="shared" si="2"/>
        <v>1.8200000000000003</v>
      </c>
      <c r="K40" s="382">
        <f t="shared" si="1"/>
        <v>4.42</v>
      </c>
    </row>
    <row r="41" spans="2:11" s="337" customFormat="1" ht="34" customHeight="1">
      <c r="B41" s="374"/>
      <c r="C41" s="386" t="s">
        <v>58</v>
      </c>
      <c r="D41" s="386" t="s">
        <v>59</v>
      </c>
      <c r="E41" s="460">
        <v>73</v>
      </c>
      <c r="F41" s="393"/>
      <c r="G41" s="379">
        <f>E41</f>
        <v>73</v>
      </c>
      <c r="H41" s="380">
        <v>10</v>
      </c>
      <c r="I41" s="381">
        <f>G41*0.1</f>
        <v>7.3000000000000007</v>
      </c>
      <c r="J41" s="381">
        <f t="shared" si="2"/>
        <v>2.5550000000000002</v>
      </c>
      <c r="K41" s="382">
        <f t="shared" si="1"/>
        <v>9.8550000000000004</v>
      </c>
    </row>
    <row r="42" spans="2:11" s="337" customFormat="1" ht="34" customHeight="1">
      <c r="B42" s="374"/>
      <c r="C42" s="386" t="s">
        <v>60</v>
      </c>
      <c r="D42" s="386" t="s">
        <v>61</v>
      </c>
      <c r="E42" s="460">
        <v>250</v>
      </c>
      <c r="F42" s="393"/>
      <c r="G42" s="379">
        <f>E42</f>
        <v>250</v>
      </c>
      <c r="H42" s="380">
        <v>5</v>
      </c>
      <c r="I42" s="381">
        <f>G42*0.05</f>
        <v>12.5</v>
      </c>
      <c r="J42" s="381">
        <f t="shared" si="2"/>
        <v>8.75</v>
      </c>
      <c r="K42" s="382">
        <f t="shared" si="1"/>
        <v>21.25</v>
      </c>
    </row>
    <row r="43" spans="2:11" s="337" customFormat="1" ht="34" customHeight="1">
      <c r="B43" s="374"/>
      <c r="C43" s="386" t="s">
        <v>62</v>
      </c>
      <c r="D43" s="393"/>
      <c r="E43" s="394"/>
      <c r="F43" s="393"/>
      <c r="G43" s="395"/>
      <c r="H43" s="380"/>
      <c r="I43" s="381"/>
      <c r="J43" s="381"/>
      <c r="K43" s="463">
        <v>125</v>
      </c>
    </row>
    <row r="44" spans="2:11" s="337" customFormat="1" ht="16">
      <c r="B44" s="396" t="s">
        <v>7</v>
      </c>
      <c r="C44" s="397"/>
      <c r="D44" s="398"/>
      <c r="E44" s="399"/>
      <c r="F44" s="400"/>
      <c r="G44" s="401">
        <f>SUM(G26:G42)</f>
        <v>35206.1276</v>
      </c>
      <c r="H44" s="401"/>
      <c r="I44" s="401">
        <f>SUM(I26:I42)</f>
        <v>3292.9863799999998</v>
      </c>
      <c r="J44" s="401">
        <f t="shared" ref="J44" si="5">SUM(J26:J42)</f>
        <v>1232.2144660000001</v>
      </c>
      <c r="K44" s="402">
        <f>SUM(K26:K43)</f>
        <v>4650.2008459999997</v>
      </c>
    </row>
    <row r="45" spans="2:11" s="337" customFormat="1" ht="16">
      <c r="B45" s="403"/>
      <c r="C45" s="404"/>
      <c r="D45" s="405"/>
      <c r="E45" s="406"/>
      <c r="F45" s="407"/>
      <c r="G45" s="408"/>
      <c r="H45" s="408"/>
      <c r="I45" s="408"/>
      <c r="J45" s="408"/>
      <c r="K45" s="409"/>
    </row>
    <row r="46" spans="2:11" s="337" customFormat="1" ht="16">
      <c r="B46" s="410"/>
      <c r="C46" s="410"/>
      <c r="D46" s="411"/>
      <c r="E46" s="412"/>
      <c r="F46" s="413"/>
      <c r="G46" s="414"/>
      <c r="H46" s="414"/>
      <c r="I46" s="414"/>
      <c r="J46" s="414"/>
      <c r="K46" s="414"/>
    </row>
    <row r="47" spans="2:11" s="337" customFormat="1" ht="16">
      <c r="B47" s="338"/>
      <c r="C47" s="415"/>
      <c r="D47" s="416"/>
      <c r="E47" s="416"/>
      <c r="F47" s="416"/>
      <c r="G47" s="417"/>
      <c r="H47" s="418"/>
      <c r="I47" s="418"/>
      <c r="J47" s="418"/>
      <c r="K47" s="419"/>
    </row>
    <row r="48" spans="2:11" s="337" customFormat="1" ht="32">
      <c r="B48" s="420" t="s">
        <v>65</v>
      </c>
      <c r="C48" s="343"/>
      <c r="D48" s="343" t="s">
        <v>120</v>
      </c>
      <c r="E48" s="343" t="s">
        <v>121</v>
      </c>
      <c r="F48" s="343"/>
      <c r="G48" s="372" t="s">
        <v>26</v>
      </c>
      <c r="H48" s="372"/>
      <c r="I48" s="372" t="s">
        <v>63</v>
      </c>
      <c r="J48" s="372" t="s">
        <v>64</v>
      </c>
      <c r="K48" s="373" t="s">
        <v>127</v>
      </c>
    </row>
    <row r="49" spans="2:15" s="337" customFormat="1" ht="16">
      <c r="B49" s="421"/>
      <c r="C49" s="422"/>
      <c r="D49" s="464">
        <v>0.1</v>
      </c>
      <c r="E49" s="462">
        <v>5000</v>
      </c>
      <c r="F49" s="422" t="s">
        <v>66</v>
      </c>
      <c r="G49" s="423">
        <f>D49*E49</f>
        <v>500</v>
      </c>
      <c r="H49" s="424"/>
      <c r="I49" s="391">
        <f>G49*0.04</f>
        <v>20</v>
      </c>
      <c r="J49" s="391">
        <f>(G49*0.1)+(G49*0.005)</f>
        <v>52.5</v>
      </c>
      <c r="K49" s="392">
        <f>SUM(H49:J49)</f>
        <v>72.5</v>
      </c>
    </row>
    <row r="50" spans="2:15" s="337" customFormat="1" ht="16">
      <c r="B50" s="425"/>
      <c r="C50" s="426"/>
      <c r="D50" s="426"/>
      <c r="E50" s="427"/>
      <c r="F50" s="426"/>
      <c r="G50" s="428"/>
      <c r="H50" s="429"/>
      <c r="I50" s="430"/>
      <c r="J50" s="430"/>
      <c r="K50" s="431"/>
    </row>
    <row r="51" spans="2:15" s="337" customFormat="1" ht="16">
      <c r="B51" s="432"/>
      <c r="C51" s="432"/>
      <c r="D51" s="432"/>
      <c r="E51" s="433"/>
      <c r="F51" s="432"/>
      <c r="G51" s="434"/>
      <c r="H51" s="435"/>
      <c r="I51" s="436"/>
      <c r="J51" s="436"/>
      <c r="K51" s="436"/>
    </row>
    <row r="52" spans="2:15" s="337" customFormat="1" ht="16">
      <c r="B52" s="437"/>
      <c r="C52" s="438"/>
      <c r="D52" s="438"/>
      <c r="E52" s="439"/>
      <c r="F52" s="438"/>
      <c r="G52" s="440"/>
      <c r="H52" s="441"/>
      <c r="I52" s="442"/>
      <c r="J52" s="442"/>
      <c r="K52" s="443"/>
    </row>
    <row r="53" spans="2:15" s="337" customFormat="1" ht="32" customHeight="1">
      <c r="B53" s="518" t="s">
        <v>171</v>
      </c>
      <c r="C53" s="519"/>
      <c r="D53" s="424"/>
      <c r="E53" s="424"/>
      <c r="F53" s="424"/>
      <c r="G53" s="424"/>
      <c r="H53" s="424"/>
      <c r="I53" s="424"/>
      <c r="J53" s="424"/>
      <c r="K53" s="444">
        <f>K49+K44</f>
        <v>4722.7008459999997</v>
      </c>
    </row>
    <row r="54" spans="2:15" s="337" customFormat="1">
      <c r="B54" s="445"/>
      <c r="C54" s="446"/>
      <c r="D54" s="446"/>
      <c r="E54" s="446"/>
      <c r="F54" s="446"/>
      <c r="G54" s="446"/>
      <c r="H54" s="446"/>
      <c r="I54" s="446"/>
      <c r="J54" s="446"/>
      <c r="K54" s="447"/>
    </row>
    <row r="55" spans="2:15" s="337" customFormat="1"/>
    <row r="56" spans="2:15" s="337" customFormat="1">
      <c r="B56" s="338"/>
      <c r="C56" s="339"/>
      <c r="D56" s="339"/>
      <c r="E56" s="339"/>
      <c r="F56" s="339"/>
      <c r="G56" s="339"/>
      <c r="H56" s="339"/>
      <c r="I56" s="339"/>
      <c r="J56" s="339"/>
      <c r="K56" s="340"/>
    </row>
    <row r="57" spans="2:15" s="337" customFormat="1" ht="17.25" customHeight="1">
      <c r="B57" s="513" t="s">
        <v>164</v>
      </c>
      <c r="C57" s="514"/>
      <c r="D57" s="514"/>
      <c r="E57" s="514"/>
      <c r="F57" s="514"/>
      <c r="G57" s="514"/>
      <c r="H57" s="514"/>
      <c r="I57" s="514"/>
      <c r="J57" s="514"/>
      <c r="K57" s="515"/>
    </row>
    <row r="58" spans="2:15" s="337" customFormat="1" ht="16.5" customHeight="1">
      <c r="B58" s="513"/>
      <c r="C58" s="514"/>
      <c r="D58" s="514"/>
      <c r="E58" s="514"/>
      <c r="F58" s="514"/>
      <c r="G58" s="514"/>
      <c r="H58" s="514"/>
      <c r="I58" s="514"/>
      <c r="J58" s="514"/>
      <c r="K58" s="515"/>
    </row>
    <row r="59" spans="2:15" s="453" customFormat="1" ht="32">
      <c r="B59" s="371"/>
      <c r="C59" s="449"/>
      <c r="D59" s="342" t="s">
        <v>68</v>
      </c>
      <c r="E59" s="342" t="s">
        <v>69</v>
      </c>
      <c r="F59" s="342" t="s">
        <v>70</v>
      </c>
      <c r="G59" s="450" t="s">
        <v>128</v>
      </c>
      <c r="H59" s="450" t="s">
        <v>140</v>
      </c>
      <c r="I59" s="451"/>
      <c r="J59" s="451"/>
      <c r="K59" s="452"/>
    </row>
    <row r="60" spans="2:15" s="337" customFormat="1" ht="16">
      <c r="B60" s="454"/>
      <c r="C60" s="455"/>
      <c r="D60" s="312" t="s">
        <v>150</v>
      </c>
      <c r="E60" s="330">
        <f>VLOOKUP(N60,Calculations!D56:J79,2)</f>
        <v>40</v>
      </c>
      <c r="F60" s="330">
        <f>VLOOKUP(N60,Calculations!D56:J79,3)</f>
        <v>43</v>
      </c>
      <c r="G60" s="456">
        <f>F60-E60</f>
        <v>3</v>
      </c>
      <c r="H60" s="457">
        <f>('Fixed Costs'!K53*(G60/(20+G60)))</f>
        <v>616.00445817391301</v>
      </c>
      <c r="I60" s="455"/>
      <c r="J60" s="455"/>
      <c r="K60" s="448"/>
      <c r="L60" s="458" t="s">
        <v>2</v>
      </c>
      <c r="M60" s="458" t="s">
        <v>130</v>
      </c>
      <c r="N60" s="459" t="str">
        <f>$D$7&amp;"|"&amp;$H$7&amp;" "&amp;L60&amp;" "&amp;M60</f>
        <v>Mizuna|50 Fall Early</v>
      </c>
      <c r="O60" s="459"/>
    </row>
    <row r="61" spans="2:15" s="337" customFormat="1" ht="16">
      <c r="B61" s="454"/>
      <c r="C61" s="455"/>
      <c r="D61" s="312" t="s">
        <v>151</v>
      </c>
      <c r="E61" s="330">
        <f>VLOOKUP(N61,Calculations!D56:J79,2)</f>
        <v>44</v>
      </c>
      <c r="F61" s="330">
        <f>VLOOKUP(N61,Calculations!D56:J79,3)</f>
        <v>50</v>
      </c>
      <c r="G61" s="456">
        <f t="shared" ref="G61:G63" si="6">F61-E61</f>
        <v>6</v>
      </c>
      <c r="H61" s="457">
        <f>('Fixed Costs'!K53*(G61/(20+G61)))</f>
        <v>1089.8540413846154</v>
      </c>
      <c r="I61" s="455"/>
      <c r="J61" s="455"/>
      <c r="K61" s="448"/>
      <c r="L61" s="458" t="s">
        <v>2</v>
      </c>
      <c r="M61" s="458" t="s">
        <v>131</v>
      </c>
      <c r="N61" s="459" t="str">
        <f>$D$7&amp;"|"&amp;$H$7&amp;" "&amp;L61&amp;" "&amp;M61</f>
        <v>Mizuna|50 Fall Late</v>
      </c>
      <c r="O61" s="459"/>
    </row>
    <row r="62" spans="2:15" s="337" customFormat="1" ht="16">
      <c r="B62" s="454"/>
      <c r="C62" s="455"/>
      <c r="D62" s="312" t="s">
        <v>152</v>
      </c>
      <c r="E62" s="330">
        <f>VLOOKUP(N62,Calculations!D56:J79,2)</f>
        <v>4</v>
      </c>
      <c r="F62" s="330">
        <f>VLOOKUP(N62,Calculations!D56:J79,3)</f>
        <v>9</v>
      </c>
      <c r="G62" s="456">
        <f t="shared" si="6"/>
        <v>5</v>
      </c>
      <c r="H62" s="457">
        <f>('Fixed Costs'!K53*(G62/(20)))</f>
        <v>1180.6752114999999</v>
      </c>
      <c r="I62" s="455"/>
      <c r="J62" s="455"/>
      <c r="K62" s="448"/>
      <c r="L62" s="458" t="s">
        <v>82</v>
      </c>
      <c r="M62" s="458" t="s">
        <v>130</v>
      </c>
      <c r="N62" s="459" t="str">
        <f>$D$7&amp;"|"&amp;$H$7&amp;" "&amp;L62&amp;" "&amp;M62</f>
        <v>Mizuna|50 Winter Early</v>
      </c>
      <c r="O62" s="459"/>
    </row>
    <row r="63" spans="2:15" s="337" customFormat="1" ht="16">
      <c r="B63" s="454"/>
      <c r="C63" s="455"/>
      <c r="D63" s="312" t="s">
        <v>153</v>
      </c>
      <c r="E63" s="330">
        <f>VLOOKUP(N63,Calculations!D57:J88,2)</f>
        <v>10</v>
      </c>
      <c r="F63" s="330">
        <f>VLOOKUP(N63,Calculations!D56:J79,3)</f>
        <v>13</v>
      </c>
      <c r="G63" s="456">
        <f t="shared" si="6"/>
        <v>3</v>
      </c>
      <c r="H63" s="457">
        <f>('Fixed Costs'!K53*(G63/(20)))</f>
        <v>708.40512689999991</v>
      </c>
      <c r="I63" s="455"/>
      <c r="J63" s="455"/>
      <c r="K63" s="448"/>
      <c r="L63" s="458" t="s">
        <v>82</v>
      </c>
      <c r="M63" s="458" t="s">
        <v>131</v>
      </c>
      <c r="N63" s="459" t="str">
        <f>$D$7&amp;"|"&amp;$H$7&amp;" "&amp;L63&amp;" "&amp;M63</f>
        <v>Mizuna|50 Winter Late</v>
      </c>
      <c r="O63" s="459"/>
    </row>
    <row r="64" spans="2:15" s="337" customFormat="1">
      <c r="B64" s="445"/>
      <c r="C64" s="446"/>
      <c r="D64" s="446"/>
      <c r="E64" s="446"/>
      <c r="F64" s="446"/>
      <c r="G64" s="446"/>
      <c r="H64" s="446"/>
      <c r="I64" s="446"/>
      <c r="J64" s="446"/>
      <c r="K64" s="447"/>
    </row>
    <row r="65" s="337" customFormat="1"/>
    <row r="66" s="337" customFormat="1"/>
    <row r="67" s="337" customFormat="1"/>
    <row r="68" s="337" customFormat="1"/>
    <row r="69" s="337" customFormat="1"/>
    <row r="70" s="337" customFormat="1"/>
    <row r="71" s="337" customFormat="1"/>
  </sheetData>
  <sheetProtection password="DB33" sheet="1" objects="1" scenarios="1"/>
  <mergeCells count="5">
    <mergeCell ref="B57:K58"/>
    <mergeCell ref="F7:G7"/>
    <mergeCell ref="B53:C53"/>
    <mergeCell ref="H23:J23"/>
    <mergeCell ref="B17:K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8"/>
  </sheetPr>
  <dimension ref="B1:J17"/>
  <sheetViews>
    <sheetView workbookViewId="0">
      <pane ySplit="8" topLeftCell="A9" activePane="bottomLeft" state="frozen"/>
      <selection pane="bottomLeft" activeCell="D66" sqref="D66"/>
    </sheetView>
  </sheetViews>
  <sheetFormatPr baseColWidth="10" defaultColWidth="10.83203125" defaultRowHeight="13" x14ac:dyDescent="0"/>
  <cols>
    <col min="1" max="1" width="14.5" style="81" customWidth="1"/>
    <col min="2" max="9" width="18.83203125" style="81" customWidth="1"/>
    <col min="10" max="10" width="21.5" style="81" customWidth="1"/>
    <col min="11" max="16384" width="10.83203125" style="81"/>
  </cols>
  <sheetData>
    <row r="1" spans="2:10" ht="22" customHeight="1"/>
    <row r="2" spans="2:10" ht="22" customHeight="1">
      <c r="B2" s="189" t="s">
        <v>144</v>
      </c>
    </row>
    <row r="3" spans="2:10" ht="22" customHeight="1"/>
    <row r="4" spans="2:10" ht="22" customHeight="1">
      <c r="B4" s="65"/>
    </row>
    <row r="5" spans="2:10" ht="22" customHeight="1">
      <c r="B5" s="65"/>
    </row>
    <row r="6" spans="2:10" ht="22" customHeight="1"/>
    <row r="7" spans="2:10" s="161" customFormat="1" ht="22" customHeight="1">
      <c r="C7" s="296" t="s">
        <v>99</v>
      </c>
      <c r="D7" s="216" t="str">
        <f>'Crop List'!E21</f>
        <v>Mizuna</v>
      </c>
      <c r="E7" s="162"/>
      <c r="F7" s="505" t="s">
        <v>137</v>
      </c>
      <c r="G7" s="506"/>
      <c r="H7" s="216">
        <f>'Crop List'!J21</f>
        <v>50</v>
      </c>
    </row>
    <row r="8" spans="2:10" s="163" customFormat="1" ht="22" customHeight="1" thickBot="1"/>
    <row r="9" spans="2:10" s="102" customFormat="1">
      <c r="G9" s="81"/>
      <c r="H9" s="81"/>
      <c r="I9" s="81"/>
      <c r="J9" s="81"/>
    </row>
    <row r="10" spans="2:10" s="102" customFormat="1">
      <c r="G10" s="81"/>
      <c r="H10" s="81"/>
      <c r="I10" s="81"/>
      <c r="J10" s="81"/>
    </row>
    <row r="11" spans="2:10" s="102" customFormat="1">
      <c r="B11" s="240"/>
      <c r="C11" s="241"/>
      <c r="D11" s="241"/>
      <c r="E11" s="241"/>
      <c r="F11" s="241"/>
      <c r="G11" s="241"/>
      <c r="H11" s="241"/>
      <c r="I11" s="241"/>
      <c r="J11" s="271"/>
    </row>
    <row r="12" spans="2:10" s="102" customFormat="1" ht="46" customHeight="1">
      <c r="B12" s="242" t="s">
        <v>138</v>
      </c>
      <c r="C12" s="118" t="s">
        <v>68</v>
      </c>
      <c r="D12" s="118" t="s">
        <v>77</v>
      </c>
      <c r="E12" s="118" t="s">
        <v>78</v>
      </c>
      <c r="F12" s="118" t="s">
        <v>139</v>
      </c>
      <c r="G12" s="118" t="s">
        <v>79</v>
      </c>
      <c r="H12" s="118" t="s">
        <v>140</v>
      </c>
      <c r="I12" s="118" t="s">
        <v>1</v>
      </c>
      <c r="J12" s="273" t="s">
        <v>80</v>
      </c>
    </row>
    <row r="13" spans="2:10" s="102" customFormat="1" ht="16">
      <c r="B13" s="524"/>
      <c r="C13" s="115" t="s">
        <v>150</v>
      </c>
      <c r="D13" s="147">
        <f>'Variable Costs'!H18</f>
        <v>3225.6000000000004</v>
      </c>
      <c r="E13" s="147">
        <f>'Variable Costs'!$H$31+'Variable Costs'!$H$44</f>
        <v>4801.2700483171175</v>
      </c>
      <c r="F13" s="147">
        <f>'Variable Costs'!H52</f>
        <v>260</v>
      </c>
      <c r="G13" s="147">
        <f>(F13+'Variable Costs'!$H$31)*0.5*('Fixed Costs'!G60/52)*0.07</f>
        <v>7.9944195634095649</v>
      </c>
      <c r="H13" s="147">
        <f>'Fixed Costs'!H60</f>
        <v>616.00445817391301</v>
      </c>
      <c r="I13" s="155">
        <f>D13-(E13+H13+F13+G13)</f>
        <v>-2459.6689260544399</v>
      </c>
      <c r="J13" s="274">
        <f>D13-(E13+F13+G13)</f>
        <v>-1843.6644678805269</v>
      </c>
    </row>
    <row r="14" spans="2:10" ht="16">
      <c r="B14" s="524"/>
      <c r="C14" s="115" t="s">
        <v>151</v>
      </c>
      <c r="D14" s="147">
        <f>'Variable Costs'!H19</f>
        <v>4377.6000000000004</v>
      </c>
      <c r="E14" s="147">
        <f>'Variable Costs'!$H$31+'Variable Costs'!$H$44</f>
        <v>4801.2700483171175</v>
      </c>
      <c r="F14" s="147">
        <f>'Variable Costs'!H53</f>
        <v>1298</v>
      </c>
      <c r="G14" s="147">
        <f>(F14+'Variable Costs'!$H$31)*0.5*('Fixed Costs'!G61/52)*0.07</f>
        <v>20.180762203742209</v>
      </c>
      <c r="H14" s="147">
        <f>'Fixed Costs'!H61</f>
        <v>1089.8540413846154</v>
      </c>
      <c r="I14" s="155">
        <f>D14-(E14+H14+F14+G14)</f>
        <v>-2831.7048519054742</v>
      </c>
      <c r="J14" s="274">
        <f>D14-(E14+F14+G14)</f>
        <v>-1741.8508105208593</v>
      </c>
    </row>
    <row r="15" spans="2:10" ht="16">
      <c r="B15" s="524"/>
      <c r="C15" s="115" t="s">
        <v>152</v>
      </c>
      <c r="D15" s="147">
        <f>'Variable Costs'!H20</f>
        <v>2073.6</v>
      </c>
      <c r="E15" s="147">
        <f>'Variable Costs'!$H$31+'Variable Costs'!$H$44</f>
        <v>4801.2700483171175</v>
      </c>
      <c r="F15" s="147">
        <f>'Variable Costs'!H54</f>
        <v>2580</v>
      </c>
      <c r="G15" s="147">
        <f>(F15+'Variable Costs'!$H$31)*0.5*('Fixed Costs'!G62/52)*0.07</f>
        <v>21.131724913374914</v>
      </c>
      <c r="H15" s="147">
        <f>'Fixed Costs'!H62</f>
        <v>1180.6752114999999</v>
      </c>
      <c r="I15" s="155">
        <f>D15-(E15+H15+F15+G15)</f>
        <v>-6509.4769847304924</v>
      </c>
      <c r="J15" s="274">
        <f>D15-(E15+F15+G15)</f>
        <v>-5328.8017732304925</v>
      </c>
    </row>
    <row r="16" spans="2:10" ht="16">
      <c r="B16" s="524"/>
      <c r="C16" s="115" t="s">
        <v>153</v>
      </c>
      <c r="D16" s="147">
        <f>'Variable Costs'!H21</f>
        <v>3225.6000000000004</v>
      </c>
      <c r="E16" s="147">
        <f>'Variable Costs'!$H$31+'Variable Costs'!$H$44</f>
        <v>4801.2700483171175</v>
      </c>
      <c r="F16" s="147">
        <f>'Variable Costs'!H55</f>
        <v>1141</v>
      </c>
      <c r="G16" s="147">
        <f>(F16+'Variable Costs'!$H$31)*0.5*('Fixed Costs'!G63/52)*0.07</f>
        <v>9.7733618711018728</v>
      </c>
      <c r="H16" s="147">
        <f>'Fixed Costs'!H63</f>
        <v>708.40512689999991</v>
      </c>
      <c r="I16" s="155">
        <f>D16-(E16+H16+F16+G16)</f>
        <v>-3434.848537088219</v>
      </c>
      <c r="J16" s="274">
        <f>D16-(E16+F16+G16)</f>
        <v>-2726.4434101882189</v>
      </c>
    </row>
    <row r="17" spans="2:10">
      <c r="B17" s="236"/>
      <c r="C17" s="237"/>
      <c r="D17" s="237"/>
      <c r="E17" s="237"/>
      <c r="F17" s="237"/>
      <c r="G17" s="237"/>
      <c r="H17" s="237"/>
      <c r="I17" s="237"/>
      <c r="J17" s="238"/>
    </row>
  </sheetData>
  <sheetProtection password="DB33" sheet="1" objects="1" scenarios="1"/>
  <mergeCells count="2">
    <mergeCell ref="B13:B16"/>
    <mergeCell ref="F7:G7"/>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8"/>
  </sheetPr>
  <dimension ref="A1:P81"/>
  <sheetViews>
    <sheetView zoomScale="96" zoomScaleNormal="96" zoomScalePageLayoutView="96" workbookViewId="0">
      <pane ySplit="7" topLeftCell="A8" activePane="bottomLeft" state="frozen"/>
      <selection pane="bottomLeft" activeCell="C103" sqref="C103"/>
    </sheetView>
  </sheetViews>
  <sheetFormatPr baseColWidth="10" defaultColWidth="10.83203125" defaultRowHeight="13" x14ac:dyDescent="0"/>
  <cols>
    <col min="1" max="1" width="13.1640625" style="81" customWidth="1"/>
    <col min="2" max="2" width="21.1640625" style="81" customWidth="1"/>
    <col min="3" max="8" width="11" style="81" customWidth="1"/>
    <col min="9" max="9" width="5.6640625" style="81" customWidth="1"/>
    <col min="10" max="10" width="23.1640625" style="81" customWidth="1"/>
    <col min="11" max="16" width="10" style="81" customWidth="1"/>
    <col min="17" max="16384" width="10.83203125" style="81"/>
  </cols>
  <sheetData>
    <row r="1" spans="2:16" ht="22" customHeight="1"/>
    <row r="2" spans="2:16" ht="22" customHeight="1">
      <c r="B2" s="189" t="s">
        <v>144</v>
      </c>
    </row>
    <row r="3" spans="2:16" ht="22" customHeight="1"/>
    <row r="4" spans="2:16" ht="22" customHeight="1">
      <c r="B4" s="65"/>
    </row>
    <row r="5" spans="2:16" ht="22" customHeight="1">
      <c r="B5" s="65"/>
    </row>
    <row r="6" spans="2:16" ht="22" customHeight="1"/>
    <row r="7" spans="2:16" s="190" customFormat="1" ht="22" customHeight="1"/>
    <row r="8" spans="2:16" s="102" customFormat="1">
      <c r="B8" s="525" t="s">
        <v>166</v>
      </c>
      <c r="C8" s="526"/>
      <c r="D8" s="526"/>
      <c r="E8" s="526"/>
      <c r="F8" s="526"/>
      <c r="G8" s="526"/>
      <c r="H8" s="526"/>
      <c r="I8" s="526"/>
      <c r="J8" s="526"/>
      <c r="K8" s="526"/>
      <c r="L8" s="526"/>
      <c r="M8" s="526"/>
      <c r="N8" s="526"/>
      <c r="O8" s="526"/>
      <c r="P8" s="527"/>
    </row>
    <row r="9" spans="2:16" s="102" customFormat="1" ht="44" customHeight="1">
      <c r="B9" s="528"/>
      <c r="C9" s="529"/>
      <c r="D9" s="529"/>
      <c r="E9" s="529"/>
      <c r="F9" s="529"/>
      <c r="G9" s="529"/>
      <c r="H9" s="529"/>
      <c r="I9" s="529"/>
      <c r="J9" s="529"/>
      <c r="K9" s="529"/>
      <c r="L9" s="529"/>
      <c r="M9" s="529"/>
      <c r="N9" s="529"/>
      <c r="O9" s="529"/>
      <c r="P9" s="530"/>
    </row>
    <row r="10" spans="2:16" s="102" customFormat="1"/>
    <row r="11" spans="2:16" s="102" customFormat="1"/>
    <row r="12" spans="2:16" s="102" customFormat="1" ht="16">
      <c r="B12" s="275" t="s">
        <v>148</v>
      </c>
      <c r="C12" s="276" t="s">
        <v>146</v>
      </c>
      <c r="D12" s="229"/>
      <c r="E12" s="229"/>
      <c r="F12" s="241"/>
      <c r="G12" s="241"/>
      <c r="H12" s="271"/>
      <c r="J12" s="275" t="s">
        <v>148</v>
      </c>
      <c r="K12" s="276" t="s">
        <v>147</v>
      </c>
      <c r="L12" s="229"/>
      <c r="M12" s="229"/>
      <c r="N12" s="241"/>
      <c r="O12" s="241"/>
      <c r="P12" s="271"/>
    </row>
    <row r="13" spans="2:16" s="102" customFormat="1" ht="16">
      <c r="B13" s="277"/>
      <c r="C13" s="278"/>
      <c r="D13" s="279"/>
      <c r="E13" s="279"/>
      <c r="F13" s="280"/>
      <c r="G13" s="280"/>
      <c r="H13" s="281"/>
      <c r="J13" s="277"/>
      <c r="K13" s="278"/>
      <c r="L13" s="279"/>
      <c r="M13" s="279"/>
      <c r="N13" s="280"/>
      <c r="O13" s="280"/>
      <c r="P13" s="281"/>
    </row>
    <row r="14" spans="2:16" s="102" customFormat="1" ht="16">
      <c r="B14" s="282" t="s">
        <v>136</v>
      </c>
      <c r="C14" s="283">
        <v>10</v>
      </c>
      <c r="D14" s="283">
        <v>11</v>
      </c>
      <c r="E14" s="283">
        <v>12</v>
      </c>
      <c r="F14" s="283">
        <v>13</v>
      </c>
      <c r="G14" s="283">
        <v>14</v>
      </c>
      <c r="H14" s="284">
        <v>15</v>
      </c>
      <c r="J14" s="289" t="s">
        <v>136</v>
      </c>
      <c r="K14" s="283">
        <v>10</v>
      </c>
      <c r="L14" s="283">
        <v>11</v>
      </c>
      <c r="M14" s="283">
        <v>12</v>
      </c>
      <c r="N14" s="283">
        <v>13</v>
      </c>
      <c r="O14" s="283">
        <v>14</v>
      </c>
      <c r="P14" s="284">
        <v>15</v>
      </c>
    </row>
    <row r="15" spans="2:16" s="102" customFormat="1" ht="16">
      <c r="B15" s="468" t="s">
        <v>68</v>
      </c>
      <c r="C15" s="280"/>
      <c r="D15" s="280"/>
      <c r="E15" s="280"/>
      <c r="F15" s="280"/>
      <c r="G15" s="280"/>
      <c r="H15" s="281"/>
      <c r="J15" s="468" t="s">
        <v>68</v>
      </c>
      <c r="K15" s="280"/>
      <c r="L15" s="280"/>
      <c r="M15" s="280"/>
      <c r="N15" s="280"/>
      <c r="O15" s="280"/>
      <c r="P15" s="281"/>
    </row>
    <row r="16" spans="2:16" s="102" customFormat="1" ht="16">
      <c r="B16" s="222" t="s">
        <v>150</v>
      </c>
      <c r="C16" s="285">
        <v>-73.75675686320119</v>
      </c>
      <c r="D16" s="285">
        <v>456.16324313679888</v>
      </c>
      <c r="E16" s="285">
        <v>986.08324313679896</v>
      </c>
      <c r="F16" s="285">
        <v>1516.003243136799</v>
      </c>
      <c r="G16" s="285">
        <v>2045.9232431367991</v>
      </c>
      <c r="H16" s="286">
        <v>2575.8432431367992</v>
      </c>
      <c r="J16" s="222" t="s">
        <v>150</v>
      </c>
      <c r="K16" s="285">
        <v>1574.3567046752596</v>
      </c>
      <c r="L16" s="285">
        <v>2242.5167046752595</v>
      </c>
      <c r="M16" s="285">
        <v>2910.6767046752602</v>
      </c>
      <c r="N16" s="285">
        <v>3578.8367046752601</v>
      </c>
      <c r="O16" s="285">
        <v>4246.9967046752599</v>
      </c>
      <c r="P16" s="286">
        <v>4915.1567046752598</v>
      </c>
    </row>
    <row r="17" spans="2:16" s="102" customFormat="1" ht="16">
      <c r="B17" s="222" t="s">
        <v>151</v>
      </c>
      <c r="C17" s="285">
        <v>-1297.3891649823972</v>
      </c>
      <c r="D17" s="285">
        <v>-767.46916498239716</v>
      </c>
      <c r="E17" s="285">
        <v>-237.54916498239709</v>
      </c>
      <c r="F17" s="285">
        <v>292.37083501760299</v>
      </c>
      <c r="G17" s="285">
        <v>822.29083501760306</v>
      </c>
      <c r="H17" s="286">
        <v>1352.2108350176031</v>
      </c>
      <c r="J17" s="222" t="s">
        <v>151</v>
      </c>
      <c r="K17" s="285">
        <v>787.63972711184942</v>
      </c>
      <c r="L17" s="285">
        <v>1455.7997271118493</v>
      </c>
      <c r="M17" s="285">
        <v>2123.95972711185</v>
      </c>
      <c r="N17" s="285">
        <v>2792.1197271118499</v>
      </c>
      <c r="O17" s="285">
        <v>3460.2797271118498</v>
      </c>
      <c r="P17" s="286">
        <v>4128.4397271118496</v>
      </c>
    </row>
    <row r="18" spans="2:16" s="102" customFormat="1" ht="16">
      <c r="B18" s="222" t="s">
        <v>152</v>
      </c>
      <c r="C18" s="285">
        <v>-2381.3539224612605</v>
      </c>
      <c r="D18" s="285">
        <v>-1851.4339224612604</v>
      </c>
      <c r="E18" s="285">
        <v>-1321.5139224612603</v>
      </c>
      <c r="F18" s="285">
        <v>-791.59392246126026</v>
      </c>
      <c r="G18" s="285">
        <v>-261.67392246126019</v>
      </c>
      <c r="H18" s="286">
        <v>268.24607753873988</v>
      </c>
      <c r="J18" s="222" t="s">
        <v>152</v>
      </c>
      <c r="K18" s="285">
        <v>-290.49954959778279</v>
      </c>
      <c r="L18" s="285">
        <v>377.66045040221707</v>
      </c>
      <c r="M18" s="285">
        <v>1045.8204504022178</v>
      </c>
      <c r="N18" s="285">
        <v>1713.9804504022177</v>
      </c>
      <c r="O18" s="285">
        <v>2382.1404504022175</v>
      </c>
      <c r="P18" s="286">
        <v>3050.3004504022174</v>
      </c>
    </row>
    <row r="19" spans="2:16" s="102" customFormat="1" ht="16">
      <c r="B19" s="223" t="s">
        <v>153</v>
      </c>
      <c r="C19" s="287">
        <v>-828.4164181882179</v>
      </c>
      <c r="D19" s="287">
        <v>-298.49641818821783</v>
      </c>
      <c r="E19" s="287">
        <v>231.42358181178224</v>
      </c>
      <c r="F19" s="287">
        <v>761.34358181178231</v>
      </c>
      <c r="G19" s="287">
        <v>1291.2635818117824</v>
      </c>
      <c r="H19" s="288">
        <v>1821.1835818117825</v>
      </c>
      <c r="J19" s="223" t="s">
        <v>153</v>
      </c>
      <c r="K19" s="287">
        <v>1065.9917046752598</v>
      </c>
      <c r="L19" s="287">
        <v>1734.1517046752597</v>
      </c>
      <c r="M19" s="287">
        <v>2402.3117046752604</v>
      </c>
      <c r="N19" s="287">
        <v>3070.4717046752603</v>
      </c>
      <c r="O19" s="287">
        <v>3738.6317046752602</v>
      </c>
      <c r="P19" s="288">
        <v>4406.79170467526</v>
      </c>
    </row>
    <row r="20" spans="2:16" s="102" customFormat="1"/>
    <row r="21" spans="2:16" s="102" customFormat="1"/>
    <row r="22" spans="2:16" s="102" customFormat="1"/>
    <row r="23" spans="2:16" s="102" customFormat="1" ht="16">
      <c r="B23" s="275" t="s">
        <v>149</v>
      </c>
      <c r="C23" s="276" t="s">
        <v>146</v>
      </c>
      <c r="D23" s="229"/>
      <c r="E23" s="229"/>
      <c r="F23" s="241"/>
      <c r="G23" s="241"/>
      <c r="H23" s="271"/>
      <c r="J23" s="275" t="s">
        <v>149</v>
      </c>
      <c r="K23" s="276" t="s">
        <v>147</v>
      </c>
      <c r="L23" s="229"/>
      <c r="M23" s="229"/>
      <c r="N23" s="241"/>
      <c r="O23" s="241"/>
      <c r="P23" s="271"/>
    </row>
    <row r="24" spans="2:16" s="102" customFormat="1" ht="16">
      <c r="B24" s="290"/>
      <c r="C24" s="122"/>
      <c r="D24" s="207"/>
      <c r="E24" s="207"/>
      <c r="F24" s="120"/>
      <c r="G24" s="120"/>
      <c r="H24" s="234"/>
      <c r="J24" s="290"/>
      <c r="K24" s="122"/>
      <c r="L24" s="207"/>
      <c r="M24" s="207"/>
      <c r="N24" s="120"/>
      <c r="O24" s="120"/>
      <c r="P24" s="234"/>
    </row>
    <row r="25" spans="2:16" s="102" customFormat="1" ht="16">
      <c r="B25" s="291" t="s">
        <v>136</v>
      </c>
      <c r="C25" s="164">
        <v>10</v>
      </c>
      <c r="D25" s="164">
        <v>11</v>
      </c>
      <c r="E25" s="164">
        <v>12</v>
      </c>
      <c r="F25" s="164">
        <v>13</v>
      </c>
      <c r="G25" s="164">
        <v>14</v>
      </c>
      <c r="H25" s="292">
        <v>15</v>
      </c>
      <c r="J25" s="293" t="s">
        <v>136</v>
      </c>
      <c r="K25" s="164">
        <v>10</v>
      </c>
      <c r="L25" s="164">
        <v>11</v>
      </c>
      <c r="M25" s="164">
        <v>12</v>
      </c>
      <c r="N25" s="164">
        <v>13</v>
      </c>
      <c r="O25" s="164">
        <v>14</v>
      </c>
      <c r="P25" s="292">
        <v>15</v>
      </c>
    </row>
    <row r="26" spans="2:16" s="102" customFormat="1" ht="16">
      <c r="B26" s="469" t="s">
        <v>68</v>
      </c>
      <c r="C26" s="120"/>
      <c r="D26" s="120"/>
      <c r="E26" s="120"/>
      <c r="F26" s="120"/>
      <c r="G26" s="120"/>
      <c r="H26" s="234"/>
      <c r="J26" s="469" t="s">
        <v>68</v>
      </c>
      <c r="K26" s="120"/>
      <c r="L26" s="120"/>
      <c r="M26" s="120"/>
      <c r="N26" s="120"/>
      <c r="O26" s="120"/>
      <c r="P26" s="234"/>
    </row>
    <row r="27" spans="2:16" s="102" customFormat="1" ht="16">
      <c r="B27" s="222" t="s">
        <v>150</v>
      </c>
      <c r="C27" s="285">
        <v>1804.3462498464305</v>
      </c>
      <c r="D27" s="285">
        <v>2518.5862498464312</v>
      </c>
      <c r="E27" s="285">
        <v>3232.8262498464319</v>
      </c>
      <c r="F27" s="285">
        <v>3947.0662498464317</v>
      </c>
      <c r="G27" s="285">
        <v>4661.3062498464315</v>
      </c>
      <c r="H27" s="286">
        <v>5375.5462498464312</v>
      </c>
      <c r="J27" s="222" t="s">
        <v>150</v>
      </c>
      <c r="K27" s="285">
        <v>2350.8063460002759</v>
      </c>
      <c r="L27" s="285">
        <v>3088.0863460002765</v>
      </c>
      <c r="M27" s="285">
        <v>3825.3663460002772</v>
      </c>
      <c r="N27" s="285">
        <v>4562.646346000276</v>
      </c>
      <c r="O27" s="285">
        <v>5299.9263460002767</v>
      </c>
      <c r="P27" s="286">
        <v>6037.2063460002755</v>
      </c>
    </row>
    <row r="28" spans="2:16" s="102" customFormat="1" ht="16">
      <c r="B28" s="222" t="s">
        <v>151</v>
      </c>
      <c r="C28" s="285">
        <v>3480.4948075387392</v>
      </c>
      <c r="D28" s="285">
        <v>4471.2148075387386</v>
      </c>
      <c r="E28" s="285">
        <v>5461.9348075387379</v>
      </c>
      <c r="F28" s="285">
        <v>6452.6548075387391</v>
      </c>
      <c r="G28" s="285">
        <v>7443.3748075387384</v>
      </c>
      <c r="H28" s="286">
        <v>8434.0948075387387</v>
      </c>
      <c r="J28" s="222" t="s">
        <v>151</v>
      </c>
      <c r="K28" s="285">
        <v>3662.599515265696</v>
      </c>
      <c r="L28" s="285">
        <v>4607.2395152656954</v>
      </c>
      <c r="M28" s="285">
        <v>5551.8795152656967</v>
      </c>
      <c r="N28" s="285">
        <v>6496.5195152656961</v>
      </c>
      <c r="O28" s="285">
        <v>7441.1595152656955</v>
      </c>
      <c r="P28" s="286">
        <v>8385.7995152656968</v>
      </c>
    </row>
    <row r="29" spans="2:16" s="102" customFormat="1" ht="16">
      <c r="B29" s="222" t="s">
        <v>152</v>
      </c>
      <c r="C29" s="285">
        <v>-666.42182898239844</v>
      </c>
      <c r="D29" s="285">
        <v>47.818171017602253</v>
      </c>
      <c r="E29" s="285">
        <v>762.05817101760294</v>
      </c>
      <c r="F29" s="285">
        <v>1476.2981710176027</v>
      </c>
      <c r="G29" s="285">
        <v>2190.5381710176025</v>
      </c>
      <c r="H29" s="286">
        <v>2904.7781710176023</v>
      </c>
      <c r="I29" s="81"/>
      <c r="J29" s="222" t="s">
        <v>152</v>
      </c>
      <c r="K29" s="285">
        <v>1989.433746034927</v>
      </c>
      <c r="L29" s="285">
        <v>2911.0337460349274</v>
      </c>
      <c r="M29" s="285">
        <v>3832.6337460349278</v>
      </c>
      <c r="N29" s="285">
        <v>4754.2337460349281</v>
      </c>
      <c r="O29" s="285">
        <v>5675.8337460349267</v>
      </c>
      <c r="P29" s="286">
        <v>6597.433746034927</v>
      </c>
    </row>
    <row r="30" spans="2:16" ht="19.5" customHeight="1">
      <c r="B30" s="223" t="s">
        <v>153</v>
      </c>
      <c r="C30" s="287">
        <v>6091.4058652310478</v>
      </c>
      <c r="D30" s="287">
        <v>7381.6458652310494</v>
      </c>
      <c r="E30" s="287">
        <v>8671.8858652310482</v>
      </c>
      <c r="F30" s="287">
        <v>9962.1258652310498</v>
      </c>
      <c r="G30" s="287">
        <v>11252.365865231051</v>
      </c>
      <c r="H30" s="288">
        <v>12542.605865231049</v>
      </c>
      <c r="J30" s="223" t="s">
        <v>153</v>
      </c>
      <c r="K30" s="287">
        <v>2478.3339440598756</v>
      </c>
      <c r="L30" s="287">
        <v>3261.6939440598762</v>
      </c>
      <c r="M30" s="287">
        <v>4045.053944059875</v>
      </c>
      <c r="N30" s="287">
        <v>4828.4139440598756</v>
      </c>
      <c r="O30" s="287">
        <v>5611.7739440598762</v>
      </c>
      <c r="P30" s="288">
        <v>6395.1339440598749</v>
      </c>
    </row>
    <row r="31" spans="2:16" ht="14" customHeight="1"/>
    <row r="32" spans="2:16" ht="14" customHeight="1"/>
    <row r="33" spans="2:16" ht="14" customHeight="1"/>
    <row r="34" spans="2:16" s="476" customFormat="1" ht="14" customHeight="1">
      <c r="B34" s="472" t="s">
        <v>145</v>
      </c>
      <c r="C34" s="256" t="s">
        <v>146</v>
      </c>
      <c r="D34" s="473"/>
      <c r="E34" s="473"/>
      <c r="F34" s="474"/>
      <c r="G34" s="474"/>
      <c r="H34" s="475"/>
      <c r="J34" s="472" t="s">
        <v>145</v>
      </c>
      <c r="K34" s="256" t="s">
        <v>147</v>
      </c>
      <c r="L34" s="473"/>
      <c r="M34" s="473"/>
      <c r="N34" s="474"/>
      <c r="O34" s="474"/>
      <c r="P34" s="475"/>
    </row>
    <row r="35" spans="2:16" ht="14" customHeight="1">
      <c r="B35" s="290"/>
      <c r="C35" s="122"/>
      <c r="D35" s="207"/>
      <c r="E35" s="207"/>
      <c r="F35" s="120"/>
      <c r="G35" s="120"/>
      <c r="H35" s="234"/>
      <c r="J35" s="277"/>
      <c r="K35" s="278"/>
      <c r="L35" s="279"/>
      <c r="M35" s="279"/>
      <c r="N35" s="280"/>
      <c r="O35" s="280"/>
      <c r="P35" s="281"/>
    </row>
    <row r="36" spans="2:16" ht="17.25" customHeight="1">
      <c r="B36" s="291" t="s">
        <v>136</v>
      </c>
      <c r="C36" s="164">
        <v>10</v>
      </c>
      <c r="D36" s="164">
        <v>11</v>
      </c>
      <c r="E36" s="164">
        <v>12</v>
      </c>
      <c r="F36" s="164">
        <v>13</v>
      </c>
      <c r="G36" s="164">
        <v>14</v>
      </c>
      <c r="H36" s="292">
        <v>15</v>
      </c>
      <c r="J36" s="289" t="s">
        <v>136</v>
      </c>
      <c r="K36" s="283">
        <v>10</v>
      </c>
      <c r="L36" s="283">
        <v>11</v>
      </c>
      <c r="M36" s="283">
        <v>12</v>
      </c>
      <c r="N36" s="283">
        <v>13</v>
      </c>
      <c r="O36" s="283">
        <v>14</v>
      </c>
      <c r="P36" s="284">
        <v>15</v>
      </c>
    </row>
    <row r="37" spans="2:16" ht="14" customHeight="1">
      <c r="B37" s="469" t="s">
        <v>68</v>
      </c>
      <c r="C37" s="120"/>
      <c r="D37" s="120"/>
      <c r="E37" s="120"/>
      <c r="F37" s="120"/>
      <c r="G37" s="120"/>
      <c r="H37" s="234"/>
      <c r="J37" s="468" t="s">
        <v>68</v>
      </c>
      <c r="K37" s="280"/>
      <c r="L37" s="280"/>
      <c r="M37" s="280"/>
      <c r="N37" s="280"/>
      <c r="O37" s="280"/>
      <c r="P37" s="281"/>
    </row>
    <row r="38" spans="2:16" ht="17.25" customHeight="1">
      <c r="B38" s="222" t="s">
        <v>150</v>
      </c>
      <c r="C38" s="285">
        <v>-1843.6644678805269</v>
      </c>
      <c r="D38" s="285">
        <v>-1521.1044678805265</v>
      </c>
      <c r="E38" s="285">
        <v>-1198.5444678805266</v>
      </c>
      <c r="F38" s="285">
        <v>-875.98446788052661</v>
      </c>
      <c r="G38" s="285">
        <v>-553.42446788052621</v>
      </c>
      <c r="H38" s="286">
        <v>-230.86446788052672</v>
      </c>
      <c r="J38" s="222" t="s">
        <v>150</v>
      </c>
      <c r="K38" s="285">
        <v>3145.0384167348575</v>
      </c>
      <c r="L38" s="285">
        <v>3951.4384167348571</v>
      </c>
      <c r="M38" s="285">
        <v>4757.8384167348568</v>
      </c>
      <c r="N38" s="285">
        <v>5564.2384167348564</v>
      </c>
      <c r="O38" s="285">
        <v>6370.6384167348579</v>
      </c>
      <c r="P38" s="286">
        <v>7177.0384167348575</v>
      </c>
    </row>
    <row r="39" spans="2:16" ht="17.25" customHeight="1">
      <c r="B39" s="222" t="s">
        <v>151</v>
      </c>
      <c r="C39" s="285">
        <v>-1741.8508105208593</v>
      </c>
      <c r="D39" s="285">
        <v>-1304.09081052086</v>
      </c>
      <c r="E39" s="285">
        <v>-866.33081052085981</v>
      </c>
      <c r="F39" s="285">
        <v>-428.5708105208596</v>
      </c>
      <c r="G39" s="285">
        <v>9.1891894791397135</v>
      </c>
      <c r="H39" s="286">
        <v>446.94918947913993</v>
      </c>
      <c r="J39" s="222" t="s">
        <v>151</v>
      </c>
      <c r="K39" s="285">
        <v>5837.7405344618155</v>
      </c>
      <c r="L39" s="285">
        <v>6966.7005344618165</v>
      </c>
      <c r="M39" s="285">
        <v>8095.6605344618156</v>
      </c>
      <c r="N39" s="285">
        <v>9224.6205344618138</v>
      </c>
      <c r="O39" s="285">
        <v>10353.580534461817</v>
      </c>
      <c r="P39" s="286">
        <v>11482.540534461816</v>
      </c>
    </row>
    <row r="40" spans="2:16" ht="17.25" customHeight="1">
      <c r="B40" s="222" t="s">
        <v>152</v>
      </c>
      <c r="C40" s="285">
        <v>-5328.8017732304925</v>
      </c>
      <c r="D40" s="285">
        <v>-5121.4417732304928</v>
      </c>
      <c r="E40" s="285">
        <v>-4914.0817732304931</v>
      </c>
      <c r="F40" s="285">
        <v>-4706.7217732304925</v>
      </c>
      <c r="G40" s="285">
        <v>-4499.3617732304929</v>
      </c>
      <c r="H40" s="286">
        <v>-4292.0017732304932</v>
      </c>
      <c r="J40" s="222" t="s">
        <v>152</v>
      </c>
      <c r="K40" s="285">
        <v>-3570.5727335977826</v>
      </c>
      <c r="L40" s="285">
        <v>-3248.0127335977822</v>
      </c>
      <c r="M40" s="285">
        <v>-2925.4527335977823</v>
      </c>
      <c r="N40" s="285">
        <v>-2602.8927335977824</v>
      </c>
      <c r="O40" s="285">
        <v>-2280.332733597782</v>
      </c>
      <c r="P40" s="286">
        <v>-1957.7727335977825</v>
      </c>
    </row>
    <row r="41" spans="2:16" ht="17.25" customHeight="1">
      <c r="B41" s="223" t="s">
        <v>153</v>
      </c>
      <c r="C41" s="287">
        <v>-2726.4434101882189</v>
      </c>
      <c r="D41" s="287">
        <v>-2403.8834101882185</v>
      </c>
      <c r="E41" s="287">
        <v>-2081.3234101882185</v>
      </c>
      <c r="F41" s="287">
        <v>-1758.7634101882186</v>
      </c>
      <c r="G41" s="287">
        <v>-1436.2034101882182</v>
      </c>
      <c r="H41" s="288">
        <v>-1113.6434101882187</v>
      </c>
      <c r="J41" s="223" t="s">
        <v>153</v>
      </c>
      <c r="K41" s="287">
        <v>-1144.5127371112967</v>
      </c>
      <c r="L41" s="287">
        <v>-729.79273711129645</v>
      </c>
      <c r="M41" s="287">
        <v>-315.0727371112971</v>
      </c>
      <c r="N41" s="287">
        <v>99.647262888703153</v>
      </c>
      <c r="O41" s="287">
        <v>514.36726288870341</v>
      </c>
      <c r="P41" s="288">
        <v>929.08726288870275</v>
      </c>
    </row>
    <row r="42" spans="2:16" ht="19" customHeight="1">
      <c r="I42" s="167"/>
    </row>
    <row r="43" spans="2:16" ht="14" customHeight="1">
      <c r="I43" s="165"/>
      <c r="J43" s="165"/>
    </row>
    <row r="44" spans="2:16" ht="14" customHeight="1"/>
    <row r="45" spans="2:16" ht="14" customHeight="1"/>
    <row r="46" spans="2:16" ht="14" customHeight="1"/>
    <row r="47" spans="2:16" ht="14" customHeight="1"/>
    <row r="48" spans="2:16" ht="14" customHeight="1"/>
    <row r="50" spans="1:10" ht="14" customHeight="1"/>
    <row r="51" spans="1:10" ht="19" customHeight="1"/>
    <row r="52" spans="1:10" ht="14" customHeight="1"/>
    <row r="59" spans="1:10">
      <c r="A59" s="165"/>
    </row>
    <row r="60" spans="1:10">
      <c r="A60" s="165"/>
    </row>
    <row r="61" spans="1:10">
      <c r="A61" s="165"/>
      <c r="I61" s="165"/>
      <c r="J61" s="165"/>
    </row>
    <row r="70" spans="1:10">
      <c r="A70" s="165"/>
      <c r="I70" s="165"/>
      <c r="J70" s="165"/>
    </row>
    <row r="71" spans="1:10">
      <c r="A71" s="165"/>
      <c r="I71" s="165"/>
      <c r="J71" s="165"/>
    </row>
    <row r="72" spans="1:10">
      <c r="A72" s="165"/>
      <c r="I72" s="165"/>
      <c r="J72" s="165"/>
    </row>
    <row r="79" spans="1:10">
      <c r="A79" s="165"/>
      <c r="I79" s="165"/>
      <c r="J79" s="165"/>
    </row>
    <row r="80" spans="1:10">
      <c r="A80" s="165"/>
      <c r="I80" s="165"/>
      <c r="J80" s="165"/>
    </row>
    <row r="81" spans="1:10">
      <c r="A81" s="165"/>
      <c r="I81" s="165"/>
      <c r="J81" s="165"/>
    </row>
  </sheetData>
  <sheetProtection password="DB33" sheet="1" objects="1" scenarios="1"/>
  <mergeCells count="1">
    <mergeCell ref="B8:P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Calculations</vt:lpstr>
      <vt:lpstr>Credits</vt:lpstr>
      <vt:lpstr>Crop List</vt:lpstr>
      <vt:lpstr>Variable Costs</vt:lpstr>
      <vt:lpstr>Fixed Costs</vt:lpstr>
      <vt:lpstr>Outputs</vt:lpstr>
      <vt:lpstr>Comparison Charts</vt:lpstr>
    </vt:vector>
  </TitlesOfParts>
  <Company>University of New Hampshire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Collie</dc:creator>
  <cp:lastModifiedBy>Claire  Collie</cp:lastModifiedBy>
  <cp:lastPrinted>2013-10-21T15:18:54Z</cp:lastPrinted>
  <dcterms:created xsi:type="dcterms:W3CDTF">2013-09-09T19:32:52Z</dcterms:created>
  <dcterms:modified xsi:type="dcterms:W3CDTF">2014-05-01T21:16:58Z</dcterms:modified>
</cp:coreProperties>
</file>